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9720" windowHeight="6330" firstSheet="11" activeTab="11"/>
  </bookViews>
  <sheets>
    <sheet name="Invest" sheetId="1" state="hidden" r:id="rId1"/>
    <sheet name="Sheet2" sheetId="2" state="hidden" r:id="rId2"/>
    <sheet name="eaMUUT" sheetId="3" state="hidden" r:id="rId3"/>
    <sheet name="omatul" sheetId="4" state="hidden" r:id="rId4"/>
    <sheet name="siht4" sheetId="5" state="hidden" r:id="rId5"/>
    <sheet name="siht3" sheetId="6" state="hidden" r:id="rId6"/>
    <sheet name="siht2" sheetId="7" state="hidden" r:id="rId7"/>
    <sheet name="siht1" sheetId="8" state="hidden" r:id="rId8"/>
    <sheet name="vkK" sheetId="9" state="hidden" r:id="rId9"/>
    <sheet name="vkT" sheetId="10" state="hidden" r:id="rId10"/>
    <sheet name="kulud" sheetId="11" state="hidden" r:id="rId11"/>
    <sheet name="kuludetäit" sheetId="12" r:id="rId12"/>
    <sheet name="LISA4" sheetId="13" state="hidden" r:id="rId13"/>
    <sheet name="Tuludetäit" sheetId="14" r:id="rId14"/>
    <sheet name="tulud" sheetId="15" state="hidden" r:id="rId15"/>
    <sheet name="Vastavustabel" sheetId="16" state="hidden" r:id="rId16"/>
    <sheet name="OV" sheetId="17" state="hidden" r:id="rId17"/>
    <sheet name="inv" sheetId="18" state="hidden" r:id="rId18"/>
    <sheet name="Haridus" sheetId="19" state="hidden" r:id="rId19"/>
    <sheet name="KULT,SP" sheetId="20" state="hidden" r:id="rId20"/>
    <sheet name="MAJANDUS" sheetId="21" state="hidden" r:id="rId21"/>
    <sheet name="Ü" sheetId="22" state="hidden" r:id="rId22"/>
    <sheet name="Sots" sheetId="23" state="hidden" r:id="rId23"/>
    <sheet name="TOV" sheetId="24" state="hidden" r:id="rId24"/>
  </sheets>
  <definedNames>
    <definedName name="Prindiala" localSheetId="18">'Haridus'!$A:$XFD</definedName>
    <definedName name="Prindiala" localSheetId="0">'Invest'!$A:$XFD</definedName>
    <definedName name="Prindiala" localSheetId="10">'kulud'!$A$1:$L$91</definedName>
  </definedNames>
  <calcPr fullCalcOnLoad="1"/>
</workbook>
</file>

<file path=xl/sharedStrings.xml><?xml version="1.0" encoding="utf-8"?>
<sst xmlns="http://schemas.openxmlformats.org/spreadsheetml/2006/main" count="2176" uniqueCount="1096">
  <si>
    <t>Aasta
algusest kokku</t>
  </si>
  <si>
    <t>TULUD</t>
  </si>
  <si>
    <t>Maksud</t>
  </si>
  <si>
    <t>Füüsilise isiku tulumaks</t>
  </si>
  <si>
    <t>Maamaks</t>
  </si>
  <si>
    <t>114.02</t>
  </si>
  <si>
    <t>Müügimaks</t>
  </si>
  <si>
    <t>Kaupade ja teenuste müük</t>
  </si>
  <si>
    <t>Riigilõivud</t>
  </si>
  <si>
    <t>122.02</t>
  </si>
  <si>
    <t>Laekumised kultuuri-ja kunstiasutuste majandustegevusest</t>
  </si>
  <si>
    <t>Laekumised spordi-ja puhkeasutuste majandustegevusest</t>
  </si>
  <si>
    <t>122.04</t>
  </si>
  <si>
    <t>Laekumised tervishoiuasutuste majandustegevusest</t>
  </si>
  <si>
    <t>Laekumised sotsiaalasutuste majandustegevusest</t>
  </si>
  <si>
    <t>Muu kaupade ja teenuste müük</t>
  </si>
  <si>
    <t>Kantseleiteenuste tasu</t>
  </si>
  <si>
    <t>129.14</t>
  </si>
  <si>
    <t>Laekumine maavara kaevandamise loa enampakkumisest</t>
  </si>
  <si>
    <t>129.15</t>
  </si>
  <si>
    <t>Jahiloa hind</t>
  </si>
  <si>
    <t>Üüri- ja renditulud toodetud mat. ja immat. varadelt</t>
  </si>
  <si>
    <t>Tulud varadelt</t>
  </si>
  <si>
    <t>Laekumine vee erikasutusest</t>
  </si>
  <si>
    <t>Jahirent</t>
  </si>
  <si>
    <t>Toetused</t>
  </si>
  <si>
    <t>Toetused riigilt ja riigiasutustelt</t>
  </si>
  <si>
    <t>Riigikogu</t>
  </si>
  <si>
    <t>Toimetulekutoetus</t>
  </si>
  <si>
    <t>Eraldised hariduskuludeks</t>
  </si>
  <si>
    <t>Eraldised haridus- ja kultuuritöötajate palkade ühtlustamiseks</t>
  </si>
  <si>
    <t>Koolitoit</t>
  </si>
  <si>
    <t>Haridusministeerium</t>
  </si>
  <si>
    <t>Kultuuriministeerium</t>
  </si>
  <si>
    <t>Sotsiaalministeerium</t>
  </si>
  <si>
    <t>Maavalitsused</t>
  </si>
  <si>
    <t>Sihtotstarbelised mat.-te ja immat.-te varade soetamiseks ja ren.-ks (RIP)</t>
  </si>
  <si>
    <t>Toetused kohaliku omavalitsuse üksustelt ja omavalitsusasutustelt</t>
  </si>
  <si>
    <t>Muud tulud</t>
  </si>
  <si>
    <t>Segalaadilised ja identifitseerimatud tulud</t>
  </si>
  <si>
    <t>KULUD MAJANDUSLIKU SISU JÄRGI</t>
  </si>
  <si>
    <t>Avaliku teenistuse ametnike töötasu</t>
  </si>
  <si>
    <t>Töötajate töötasu</t>
  </si>
  <si>
    <t>Tööettevõtulepingu alusel töötajatele makstav tasu</t>
  </si>
  <si>
    <t>Valitavate ja ametisse nimetatavate ametnike töötasu</t>
  </si>
  <si>
    <t>Muud tasud</t>
  </si>
  <si>
    <t>Töötuskindlustusmakse kulu</t>
  </si>
  <si>
    <t>Koolituskulud</t>
  </si>
  <si>
    <t>Kinnistute, hoonete ja ruumide majandamiskulud</t>
  </si>
  <si>
    <t>Rajatiste majandamiskulud</t>
  </si>
  <si>
    <t>Toiduained ja toitlustusteenused</t>
  </si>
  <si>
    <t>Meditsiinikulud ja hügieenitarbed</t>
  </si>
  <si>
    <t>Teavikud ja kunstiesemed</t>
  </si>
  <si>
    <t>Õppevahendid</t>
  </si>
  <si>
    <t>Subsiidiumid ettevõtlusega tegelevatele isikutele</t>
  </si>
  <si>
    <t>Peretoetused</t>
  </si>
  <si>
    <t>Eraldised riigile ja riigiasutustele</t>
  </si>
  <si>
    <t>Intressi-, viivise- ja kohustistasukulud</t>
  </si>
  <si>
    <t>291.02.1</t>
  </si>
  <si>
    <t>Intressi-, viivise- ja kohustistasukulud kapitalirendilt residentidele</t>
  </si>
  <si>
    <t>291.03.2</t>
  </si>
  <si>
    <t>Muudelt residentidelt võetud laenudelt</t>
  </si>
  <si>
    <t>291.99</t>
  </si>
  <si>
    <t>Intressi- ja viivisekulud muudelt kohustustelt</t>
  </si>
  <si>
    <t>FINANTSEERIMISTEHINGUD</t>
  </si>
  <si>
    <t>Reservfond</t>
  </si>
  <si>
    <t>Valla- ja linnavolikogu</t>
  </si>
  <si>
    <t>Valla- ja linnavalitsus</t>
  </si>
  <si>
    <t>Riigikaitse</t>
  </si>
  <si>
    <t>Avalik kord ja julgeolek</t>
  </si>
  <si>
    <t>Vallateede- ja tänavate korrashoid</t>
  </si>
  <si>
    <t>Keskkonnakaitse</t>
  </si>
  <si>
    <t>Elamu- ja kommunaalmajandus</t>
  </si>
  <si>
    <t>Tervishoid</t>
  </si>
  <si>
    <t>408</t>
  </si>
  <si>
    <t>408.1.4</t>
  </si>
  <si>
    <t>Laste muusika- ja kunstikoolid</t>
  </si>
  <si>
    <t>408.1.5</t>
  </si>
  <si>
    <t>408.2.1</t>
  </si>
  <si>
    <t>Raamatukogud</t>
  </si>
  <si>
    <t>408.2.2</t>
  </si>
  <si>
    <t>409.1.1</t>
  </si>
  <si>
    <t>Eelharidus (lasteaiad)</t>
  </si>
  <si>
    <t>409.2.0.1</t>
  </si>
  <si>
    <t>Põhikoolid ja gümnaasiumid</t>
  </si>
  <si>
    <t>409.6.1</t>
  </si>
  <si>
    <t>Õpilasveo eriliinid</t>
  </si>
  <si>
    <t>410.1.2.2</t>
  </si>
  <si>
    <t>Segatüüpi hoolekandeasutus</t>
  </si>
  <si>
    <t>410.2.1</t>
  </si>
  <si>
    <t>Koduteenused</t>
  </si>
  <si>
    <t>410.2.2</t>
  </si>
  <si>
    <t>Üldhooldekodu</t>
  </si>
  <si>
    <t>Rahva- ja kultuurimajad</t>
  </si>
  <si>
    <t>Üldised valitsussektori teenused, sh.</t>
  </si>
  <si>
    <t>Majandus, sh.</t>
  </si>
  <si>
    <t>Üldised valitsussektori teenused</t>
  </si>
  <si>
    <t>Majandus</t>
  </si>
  <si>
    <t>Haridus</t>
  </si>
  <si>
    <t>Sotsiaalne kaitse</t>
  </si>
  <si>
    <t>Vabaaeg, kultuur ja religioon</t>
  </si>
  <si>
    <t>401.1.1.1</t>
  </si>
  <si>
    <t>401.1.1.2</t>
  </si>
  <si>
    <t>401.1.1.3</t>
  </si>
  <si>
    <t>Linnaosavalitsused - struktuuriüksused</t>
  </si>
  <si>
    <t>401.3.2.1</t>
  </si>
  <si>
    <t>Üldised planeerimis- ja statistikateenused ???</t>
  </si>
  <si>
    <t>401.3.2.2</t>
  </si>
  <si>
    <t xml:space="preserve">Valla- ja linna arengukava  </t>
  </si>
  <si>
    <t>401.6.1.1</t>
  </si>
  <si>
    <t>Valimised</t>
  </si>
  <si>
    <t>401.6.1.2</t>
  </si>
  <si>
    <t>Omavalitsuste liikmemaks ja ühistegevuse kulud</t>
  </si>
  <si>
    <t>403.1</t>
  </si>
  <si>
    <t>Politsei</t>
  </si>
  <si>
    <t>403.2</t>
  </si>
  <si>
    <t>Päästeteenistus</t>
  </si>
  <si>
    <t>Muu avalik kord ja julgeolek</t>
  </si>
  <si>
    <t>404.2.2</t>
  </si>
  <si>
    <t>Metsamajandus</t>
  </si>
  <si>
    <t>404.2.3</t>
  </si>
  <si>
    <t>Kalandus ja jahimajandus</t>
  </si>
  <si>
    <t>404.3.5</t>
  </si>
  <si>
    <t>Elektrienergia</t>
  </si>
  <si>
    <t>404.3.6</t>
  </si>
  <si>
    <t>404.5.1.1</t>
  </si>
  <si>
    <t>404.5.1.2</t>
  </si>
  <si>
    <t>Liikluskorraldus</t>
  </si>
  <si>
    <t>404.5.1.3</t>
  </si>
  <si>
    <t>Elekter- ja autotransport</t>
  </si>
  <si>
    <t>404.5.2</t>
  </si>
  <si>
    <t>Veetransport</t>
  </si>
  <si>
    <t>404.5.4</t>
  </si>
  <si>
    <t>Õhutransport</t>
  </si>
  <si>
    <t>404.6</t>
  </si>
  <si>
    <t>Side</t>
  </si>
  <si>
    <t>404.7.1</t>
  </si>
  <si>
    <t>Kaubandus</t>
  </si>
  <si>
    <t>404.7.3</t>
  </si>
  <si>
    <t>Turism</t>
  </si>
  <si>
    <t>404.7.4.1</t>
  </si>
  <si>
    <t>Territoriaalne planeerimine</t>
  </si>
  <si>
    <t>404.9.1</t>
  </si>
  <si>
    <t>Majanduse haldamine</t>
  </si>
  <si>
    <t>405.2</t>
  </si>
  <si>
    <t>Heitveekäitlus</t>
  </si>
  <si>
    <t>Muu keskkonnakaitse</t>
  </si>
  <si>
    <t>406.3</t>
  </si>
  <si>
    <t>Veevarustus</t>
  </si>
  <si>
    <t>406.4</t>
  </si>
  <si>
    <t>Tänavavalgustus</t>
  </si>
  <si>
    <t>406.6.1</t>
  </si>
  <si>
    <t>Elamu- ja kommunaalmajanduse haldamine</t>
  </si>
  <si>
    <t>406.6.2</t>
  </si>
  <si>
    <t>407.1.1</t>
  </si>
  <si>
    <t>Farmaatsiatooted - apteegid</t>
  </si>
  <si>
    <t>407.2</t>
  </si>
  <si>
    <t>Ambulatoorsed teenused</t>
  </si>
  <si>
    <t>407.2.4</t>
  </si>
  <si>
    <t>Parameditsiiniteenused- kiirabi</t>
  </si>
  <si>
    <t xml:space="preserve">407.3 </t>
  </si>
  <si>
    <t>Haiglateenused</t>
  </si>
  <si>
    <t>407.4</t>
  </si>
  <si>
    <t>Avalikud tervishoiuteenused</t>
  </si>
  <si>
    <t>407.6.1</t>
  </si>
  <si>
    <t>Tervishoiu haldamine</t>
  </si>
  <si>
    <t>408.1.1</t>
  </si>
  <si>
    <t>Spordikoolid</t>
  </si>
  <si>
    <t>408.1.2</t>
  </si>
  <si>
    <t>Spordibaasid</t>
  </si>
  <si>
    <t>408.1.3</t>
  </si>
  <si>
    <t>Spordiorganisatsioonid</t>
  </si>
  <si>
    <t>Puhkepargid</t>
  </si>
  <si>
    <t>408.1.6</t>
  </si>
  <si>
    <t>Laste huvialamajad ja keskused</t>
  </si>
  <si>
    <t>408.1.7</t>
  </si>
  <si>
    <t>Täiskasvanute huvialaasutused</t>
  </si>
  <si>
    <t>408.1.8</t>
  </si>
  <si>
    <t>Vabaaja- ja spordiüritused</t>
  </si>
  <si>
    <t>408.2.3</t>
  </si>
  <si>
    <t>Muuseumid</t>
  </si>
  <si>
    <t>408.2.4</t>
  </si>
  <si>
    <t>Teatrid</t>
  </si>
  <si>
    <t>408.2.5</t>
  </si>
  <si>
    <t>Kinod</t>
  </si>
  <si>
    <t>408.2.6</t>
  </si>
  <si>
    <t>Kontsertorganisatsioonid</t>
  </si>
  <si>
    <t>408.2.7</t>
  </si>
  <si>
    <t>Arhiivid</t>
  </si>
  <si>
    <t>408.2.8</t>
  </si>
  <si>
    <t>Loomaaed</t>
  </si>
  <si>
    <t>408.2.9</t>
  </si>
  <si>
    <t>Botaanikaaed</t>
  </si>
  <si>
    <t>408.2.10</t>
  </si>
  <si>
    <t>Muinsuskaitse</t>
  </si>
  <si>
    <t>408.3</t>
  </si>
  <si>
    <t>Ringhäälingu- ja kirjastamisteenused</t>
  </si>
  <si>
    <t>408.4.1</t>
  </si>
  <si>
    <t>Usuasutused</t>
  </si>
  <si>
    <t>408.4.2</t>
  </si>
  <si>
    <t>Pühapäevakoolid</t>
  </si>
  <si>
    <t>408.6.1</t>
  </si>
  <si>
    <t>Vabaaja, kultuuri ja religiooni haldus</t>
  </si>
  <si>
    <t>409.2.0.2</t>
  </si>
  <si>
    <t>Täiskasvanute gümnaasiumid</t>
  </si>
  <si>
    <t>409.2.0.3</t>
  </si>
  <si>
    <t>Kutseõppeasutused</t>
  </si>
  <si>
    <t>409.4</t>
  </si>
  <si>
    <t>Kolmanda taseme haridus - kõrgkoolid</t>
  </si>
  <si>
    <t>409.5.1</t>
  </si>
  <si>
    <t>Hälviklaste koolid</t>
  </si>
  <si>
    <t>409.6.2</t>
  </si>
  <si>
    <t>Haridusüritused</t>
  </si>
  <si>
    <t>409.8.1</t>
  </si>
  <si>
    <t>Hariduse haldus</t>
  </si>
  <si>
    <t>410.1.2.1</t>
  </si>
  <si>
    <t>Transporditeenused</t>
  </si>
  <si>
    <t>410.1.2.3</t>
  </si>
  <si>
    <t>Muud teenused puuetega inimestele</t>
  </si>
  <si>
    <t>410.2.3</t>
  </si>
  <si>
    <t>Muu eakate sotsiaalne kaitse</t>
  </si>
  <si>
    <t>410.4.1</t>
  </si>
  <si>
    <t>Lastekodu</t>
  </si>
  <si>
    <t>410.4.2</t>
  </si>
  <si>
    <t>Tugikodu</t>
  </si>
  <si>
    <t>410.4.3</t>
  </si>
  <si>
    <t>Muu perekondade ja laste sotsiaalne kaitse</t>
  </si>
  <si>
    <t>410.5</t>
  </si>
  <si>
    <t>Töötute sotsiaalne kaitse</t>
  </si>
  <si>
    <t>Varjupaik</t>
  </si>
  <si>
    <t>Noortekodu</t>
  </si>
  <si>
    <t>410.9.1</t>
  </si>
  <si>
    <t>Sotsiaalse kaitse haldus</t>
  </si>
  <si>
    <t>410.9.2</t>
  </si>
  <si>
    <t>Eespool nimetamata sotsiaalteenused</t>
  </si>
  <si>
    <t>410.7.1</t>
  </si>
  <si>
    <t>410.7.2</t>
  </si>
  <si>
    <t>410.6</t>
  </si>
  <si>
    <t>Eluasemeteenused sotsiaalsetele riskirühmadele</t>
  </si>
  <si>
    <t>Muu eespool nimetamata sotsiaalsete riskirühmade kaitse</t>
  </si>
  <si>
    <t>Koolkodu</t>
  </si>
  <si>
    <t>410.2.4</t>
  </si>
  <si>
    <t>410.4.4</t>
  </si>
  <si>
    <t>410.1.2.4</t>
  </si>
  <si>
    <t>405.1</t>
  </si>
  <si>
    <t>Jäätmekäitlus (prügivedu)</t>
  </si>
  <si>
    <t>405.4</t>
  </si>
  <si>
    <t>Bioloogilise mitmekesisuse ja maastiku kaitse, haljastus</t>
  </si>
  <si>
    <t>Kalmistud</t>
  </si>
  <si>
    <t>405.3</t>
  </si>
  <si>
    <t>Saaste vähendamine</t>
  </si>
  <si>
    <t>Muud tervishoiukulud</t>
  </si>
  <si>
    <t>Muud vabaaja, kultuuri ja religiooni kulud</t>
  </si>
  <si>
    <t>Muud hariduse kulud</t>
  </si>
  <si>
    <t>Muud sotsiaalse kaitse kulud</t>
  </si>
  <si>
    <t>401.1.2.1</t>
  </si>
  <si>
    <t>404.2.1.1</t>
  </si>
  <si>
    <t>404.2.1.2</t>
  </si>
  <si>
    <t>Maakorraldus</t>
  </si>
  <si>
    <t>Muu põllumajandus</t>
  </si>
  <si>
    <t>406.1</t>
  </si>
  <si>
    <t>Elamumajanduse arendamine</t>
  </si>
  <si>
    <t>406.2</t>
  </si>
  <si>
    <t>Kommunaalmajanduse arendamine</t>
  </si>
  <si>
    <t>Eakate päevakeskus</t>
  </si>
  <si>
    <t>Laste ja noorte päevakeskus</t>
  </si>
  <si>
    <t>410.4.5</t>
  </si>
  <si>
    <t>Muu energia- ja soojamajandus</t>
  </si>
  <si>
    <t>Ülalnimetamata majanduse kulud kokku</t>
  </si>
  <si>
    <t>Ülalnimetamata hariduse kulud kokku</t>
  </si>
  <si>
    <t>408.2.11</t>
  </si>
  <si>
    <t>Kultuuriüritused</t>
  </si>
  <si>
    <t>Spordi, vabaaja, kultuuri ja religiooni haldus</t>
  </si>
  <si>
    <t>Uus klassifikaator</t>
  </si>
  <si>
    <t>Vana klassifikaator</t>
  </si>
  <si>
    <t>270-01</t>
  </si>
  <si>
    <t xml:space="preserve">270-04 </t>
  </si>
  <si>
    <t>270-10</t>
  </si>
  <si>
    <t>rahvastikureg. siin  - uus</t>
  </si>
  <si>
    <t>varem 279-16</t>
  </si>
  <si>
    <t>270-02</t>
  </si>
  <si>
    <t>270-20</t>
  </si>
  <si>
    <t>sõjaväearvestus ja kaitseliit</t>
  </si>
  <si>
    <t>272-12</t>
  </si>
  <si>
    <t>272-21</t>
  </si>
  <si>
    <t xml:space="preserve"> 272-29</t>
  </si>
  <si>
    <t>279-50</t>
  </si>
  <si>
    <t>279-51 , 270-12</t>
  </si>
  <si>
    <t>279-53</t>
  </si>
  <si>
    <t>279-54</t>
  </si>
  <si>
    <t>uus</t>
  </si>
  <si>
    <t>279-34 ja 31</t>
  </si>
  <si>
    <t>279-23.02</t>
  </si>
  <si>
    <t>279-24</t>
  </si>
  <si>
    <t>279-41</t>
  </si>
  <si>
    <t>279-44</t>
  </si>
  <si>
    <t>279-45</t>
  </si>
  <si>
    <t>279-49</t>
  </si>
  <si>
    <t>279-56</t>
  </si>
  <si>
    <t>279-57</t>
  </si>
  <si>
    <t xml:space="preserve">279-12 </t>
  </si>
  <si>
    <t>279-01</t>
  </si>
  <si>
    <t>Muud majanduse  kulud</t>
  </si>
  <si>
    <t>279-59 kas siia sobib279-14?</t>
  </si>
  <si>
    <t>279- 23.08</t>
  </si>
  <si>
    <t>uus - nt.korstnatele filtrid</t>
  </si>
  <si>
    <t>279-23.04</t>
  </si>
  <si>
    <t>279-61</t>
  </si>
  <si>
    <t>279-21</t>
  </si>
  <si>
    <t>varem koos elamumaj-ga</t>
  </si>
  <si>
    <t>279-33</t>
  </si>
  <si>
    <t>279-23.01</t>
  </si>
  <si>
    <t>279-23.06</t>
  </si>
  <si>
    <t xml:space="preserve">Muud elamu-ja kommunaalmajanduse kulud </t>
  </si>
  <si>
    <t>277-22</t>
  </si>
  <si>
    <t>277-13 ja 20</t>
  </si>
  <si>
    <t>277-23</t>
  </si>
  <si>
    <t>277-11</t>
  </si>
  <si>
    <t>277-05</t>
  </si>
  <si>
    <t>277-01 ja 277-21</t>
  </si>
  <si>
    <t>277-35 ja 31</t>
  </si>
  <si>
    <t>273-25 ja 276-13</t>
  </si>
  <si>
    <t>276-11</t>
  </si>
  <si>
    <t>276-12</t>
  </si>
  <si>
    <t>276-21</t>
  </si>
  <si>
    <t>273-26</t>
  </si>
  <si>
    <t>273-28 ja 31</t>
  </si>
  <si>
    <t>275-29</t>
  </si>
  <si>
    <t>275-05 ja 276-05</t>
  </si>
  <si>
    <t>275-12</t>
  </si>
  <si>
    <t>275-14</t>
  </si>
  <si>
    <t>275-17</t>
  </si>
  <si>
    <t>275-23</t>
  </si>
  <si>
    <t>275-26</t>
  </si>
  <si>
    <t>275-25</t>
  </si>
  <si>
    <t>275-11</t>
  </si>
  <si>
    <t>275-20</t>
  </si>
  <si>
    <t>275-19</t>
  </si>
  <si>
    <t>275-33</t>
  </si>
  <si>
    <t>275-28</t>
  </si>
  <si>
    <t>275-36</t>
  </si>
  <si>
    <t>273-30</t>
  </si>
  <si>
    <t>275-01 ja 276-01</t>
  </si>
  <si>
    <t>275-38,39 ja 276-39</t>
  </si>
  <si>
    <t>273-11 ja 12</t>
  </si>
  <si>
    <t>273-13 ja 15</t>
  </si>
  <si>
    <t>273-14</t>
  </si>
  <si>
    <t>273-20</t>
  </si>
  <si>
    <t>273-22</t>
  </si>
  <si>
    <t>273-18</t>
  </si>
  <si>
    <t>273-21</t>
  </si>
  <si>
    <t>varem polnud</t>
  </si>
  <si>
    <t>273-01</t>
  </si>
  <si>
    <t>273-35, 38, 39</t>
  </si>
  <si>
    <t>278-11 ja 32</t>
  </si>
  <si>
    <t>278-23</t>
  </si>
  <si>
    <t>278-22</t>
  </si>
  <si>
    <t>278-12</t>
  </si>
  <si>
    <t>278-21</t>
  </si>
  <si>
    <t>279-16</t>
  </si>
  <si>
    <t>278-19</t>
  </si>
  <si>
    <t>278-17</t>
  </si>
  <si>
    <t>278-20</t>
  </si>
  <si>
    <t>278-14 ja 35</t>
  </si>
  <si>
    <t>278-38</t>
  </si>
  <si>
    <t>278-13 ja 34</t>
  </si>
  <si>
    <t>278-18</t>
  </si>
  <si>
    <t>278- 24 ja 33</t>
  </si>
  <si>
    <t>278-01</t>
  </si>
  <si>
    <t>278-29</t>
  </si>
  <si>
    <t>278-15,98</t>
  </si>
  <si>
    <t>KÕIK KOKKU</t>
  </si>
  <si>
    <t>407.6</t>
  </si>
  <si>
    <t>Muu tervishoid</t>
  </si>
  <si>
    <t>Sõidukite ülalpidamise kulud</t>
  </si>
  <si>
    <t>(tuhandetes kroonides)</t>
  </si>
  <si>
    <t>sh personalikulu</t>
  </si>
  <si>
    <t>409.1.1.1</t>
  </si>
  <si>
    <t>409.1.1.2</t>
  </si>
  <si>
    <t>409.2.0.1.1</t>
  </si>
  <si>
    <t>409.2.0.1.2</t>
  </si>
  <si>
    <t>409.2.0.1.3</t>
  </si>
  <si>
    <t>409.1.1.3</t>
  </si>
  <si>
    <t>409.1.1.4</t>
  </si>
  <si>
    <t xml:space="preserve">TEGEVUSKULUDE HÜVITAMINE TEISTELE OMAVALITSUSTELE 2003 aastal </t>
  </si>
  <si>
    <t>Kärdla linn</t>
  </si>
  <si>
    <t>õpilaste arv</t>
  </si>
  <si>
    <t>kuus</t>
  </si>
  <si>
    <t>kokku</t>
  </si>
  <si>
    <t>Ühisgümnaasium</t>
  </si>
  <si>
    <t>Lasteaed</t>
  </si>
  <si>
    <t>Muusikakool</t>
  </si>
  <si>
    <t>Kõik kokku</t>
  </si>
  <si>
    <t>Käina vald</t>
  </si>
  <si>
    <t>Gümnaasium</t>
  </si>
  <si>
    <t>KKK</t>
  </si>
  <si>
    <t>Tallinn</t>
  </si>
  <si>
    <t>PK ja Gümn</t>
  </si>
  <si>
    <t>Jõelähtme vald</t>
  </si>
  <si>
    <t>Keskkool</t>
  </si>
  <si>
    <t>Saku vald</t>
  </si>
  <si>
    <t>(lahkunud)</t>
  </si>
  <si>
    <t>Haapsalu</t>
  </si>
  <si>
    <t>Algkool, Gümnaasium</t>
  </si>
  <si>
    <t>Lastekesk.</t>
  </si>
  <si>
    <t>Kuressaare</t>
  </si>
  <si>
    <t>(lahk)</t>
  </si>
  <si>
    <t>Põltsamaa</t>
  </si>
  <si>
    <t>Eralasteaed</t>
  </si>
  <si>
    <t>Mõmmi</t>
  </si>
  <si>
    <t>Tihane</t>
  </si>
  <si>
    <t>Spordiklubid</t>
  </si>
  <si>
    <t>Pühalepa Pääsuke</t>
  </si>
  <si>
    <t>408.2.1.1</t>
  </si>
  <si>
    <t>408.2.1.2</t>
  </si>
  <si>
    <t>408.2.1.3</t>
  </si>
  <si>
    <t>Kohustuste (tagasimaksed)</t>
  </si>
  <si>
    <t>Kapitaliliisingu maksed residentidele</t>
  </si>
  <si>
    <t>Võetud laenude tagasimaksmine muudele residentidele</t>
  </si>
  <si>
    <t>Ülalnimetamata keskkonnakaitse kulud kokku (projektid)</t>
  </si>
  <si>
    <t>Raamatukogud   sh</t>
  </si>
  <si>
    <t xml:space="preserve">   Hellamaa Raamatukogu</t>
  </si>
  <si>
    <t xml:space="preserve">   Palade Raamatukogu</t>
  </si>
  <si>
    <t xml:space="preserve">   Suuremõisa Raamatukogu</t>
  </si>
  <si>
    <t>Eelharidus (lasteaiad)  sh</t>
  </si>
  <si>
    <t xml:space="preserve">   Palade Lasteaed</t>
  </si>
  <si>
    <t xml:space="preserve">   Suuremõisa Lasteaed</t>
  </si>
  <si>
    <t xml:space="preserve">   Teiste omavalitsuste eelharidus</t>
  </si>
  <si>
    <t xml:space="preserve">   Eralasteaiad</t>
  </si>
  <si>
    <t>Põhikoolid ja gümnaasiumid  sh</t>
  </si>
  <si>
    <t xml:space="preserve">   Palade Põhikool</t>
  </si>
  <si>
    <t xml:space="preserve">   Suuremõisa Põhikool</t>
  </si>
  <si>
    <t xml:space="preserve">   Teiste omavalitsuste pk ja gümn-d</t>
  </si>
  <si>
    <t>KOKKU EELARVE maht</t>
  </si>
  <si>
    <t>KOKKU</t>
  </si>
  <si>
    <t>PÜHALEPA VALLA 2003 EELARVE</t>
  </si>
  <si>
    <t>EELNÕU</t>
  </si>
  <si>
    <t>401.1.2.2</t>
  </si>
  <si>
    <t>Keskne raamatupidamine</t>
  </si>
  <si>
    <t>Infoteenistus</t>
  </si>
  <si>
    <t>410.1.2</t>
  </si>
  <si>
    <t>Sotsiaalhoolekande teenused puuetega inimestele</t>
  </si>
  <si>
    <t>tuhandetes kroonides</t>
  </si>
  <si>
    <t>(laste arv)</t>
  </si>
  <si>
    <t>Tasandusfond</t>
  </si>
  <si>
    <t>Munitsipaalkoolide personalikulu, koolitus ja fondiõpikud</t>
  </si>
  <si>
    <t>Lasteaedade pedagoogide koolituskulud</t>
  </si>
  <si>
    <t>MAHUD</t>
  </si>
  <si>
    <t>KULUD TEGEVUSALADE JÄRGI JA FINANTSEERIMISTEHINGUD</t>
  </si>
  <si>
    <t>(plaaniline)</t>
  </si>
  <si>
    <t>(KORRIGEERITUD)</t>
  </si>
  <si>
    <t xml:space="preserve">Vabaaeg ja kultuur </t>
  </si>
  <si>
    <t xml:space="preserve">   Teiste omavalitsuste põhikoolid ja gümn-d</t>
  </si>
  <si>
    <t>Valitsussektori võla teenindamine</t>
  </si>
  <si>
    <t>Eraldised jooksvateks kuludeks tasandusfondi määratud vahendid</t>
  </si>
  <si>
    <t>Sihtotstarbelised toetused jooksvateks kulutusteks</t>
  </si>
  <si>
    <t>INVESTEERINGUD</t>
  </si>
  <si>
    <t>(koondnimekiri aastatest 2000-2003)</t>
  </si>
  <si>
    <t>Auto soetamine (sotsiaalhoolekanne)</t>
  </si>
  <si>
    <t>Palade kalmistu projekteerimine</t>
  </si>
  <si>
    <t>Vallateede remont</t>
  </si>
  <si>
    <t>Bussipaviljonid</t>
  </si>
  <si>
    <t>Palade kalmistu kiviaia ehitus</t>
  </si>
  <si>
    <t>Vallavanema auto soetamine</t>
  </si>
  <si>
    <t>Palade Spordihoone katuse remont</t>
  </si>
  <si>
    <t>Suuremõisa PK pallimängusaali kõrvalhoone</t>
  </si>
  <si>
    <t>Palade LA põrand</t>
  </si>
  <si>
    <t>Suuremõisa LA kuur</t>
  </si>
  <si>
    <t>Suuremõisa avalik WC</t>
  </si>
  <si>
    <t>Palade saali toolid (kogu vald)</t>
  </si>
  <si>
    <t>Niiduk-traktor</t>
  </si>
  <si>
    <t>Suuremõisa Põhikool videoprojektor</t>
  </si>
  <si>
    <t>Kokku:</t>
  </si>
  <si>
    <t>Kinnistamiseks, mõõdistamiseks</t>
  </si>
  <si>
    <t>projektide omaosaluseks</t>
  </si>
  <si>
    <t>Laekunud (korter)</t>
  </si>
  <si>
    <t xml:space="preserve">" * maksumused" pärinevad eelmiste aastate eelarve eelnõudest </t>
  </si>
  <si>
    <t>"* maksumus  "</t>
  </si>
  <si>
    <t>I</t>
  </si>
  <si>
    <t>eelarvetest välja jäänud</t>
  </si>
  <si>
    <t>II</t>
  </si>
  <si>
    <t>lisatud vallavalitsuse poolt</t>
  </si>
  <si>
    <t>III</t>
  </si>
  <si>
    <t>lisatud eelarve-ja rahanduskomisjonis</t>
  </si>
  <si>
    <t xml:space="preserve">arvutid </t>
  </si>
  <si>
    <t>Palade PK juurdeehitus(1164300-416000)</t>
  </si>
  <si>
    <t>SALDO: (ehk jagamiseks!)</t>
  </si>
  <si>
    <t>NB</t>
  </si>
  <si>
    <t>Müügiga seotud kulud(vallavalitsuse eelarvest)</t>
  </si>
  <si>
    <t>Palade Raamatukogu</t>
  </si>
  <si>
    <t>Heltermaa kivikuur</t>
  </si>
  <si>
    <t>Heinlaid</t>
  </si>
  <si>
    <t xml:space="preserve">Tänavavalgustus </t>
  </si>
  <si>
    <t>2003 eelarves planeeritud</t>
  </si>
  <si>
    <t>PÜHALEPA VALLA 2004 EELARVE</t>
  </si>
  <si>
    <t xml:space="preserve">TEGEVUSKULUDE HÜVITAMINE TEISTELE OMAVALITSUSTELE 2004 aastal </t>
  </si>
  <si>
    <t>Sotsiaalne
kaitse KOKKU</t>
  </si>
  <si>
    <t>KÕIK 
KOKKU</t>
  </si>
  <si>
    <t>Segalaadilised ja identifitseerimatud kulud(proj omafinants)</t>
  </si>
  <si>
    <t>10  SOTSIAALNE KAITSE</t>
  </si>
  <si>
    <t>Bürootarbed</t>
  </si>
  <si>
    <t>Trükised</t>
  </si>
  <si>
    <t>Telefonikulud</t>
  </si>
  <si>
    <t>Postikulud</t>
  </si>
  <si>
    <t>Üritused, vastuvõtu ja esinduskulud</t>
  </si>
  <si>
    <t>Advokaadi ja audiitoriteenused</t>
  </si>
  <si>
    <t>Info ja pr teenused</t>
  </si>
  <si>
    <t>Pangateenused</t>
  </si>
  <si>
    <t>Töö ja teenistuslähetus</t>
  </si>
  <si>
    <t>Elekter</t>
  </si>
  <si>
    <t>Administreerimiskulud</t>
  </si>
  <si>
    <t>Sotsiaalmaksu ja töötuskindl kulu</t>
  </si>
  <si>
    <t>Infotehnoloogia kulud(va põhivara soetused)</t>
  </si>
  <si>
    <t>Inventari kulud, v.a IT kulud (va põhivara soetused)</t>
  </si>
  <si>
    <t>Eraldised KOV üksustele ja omavalitsusasutustele</t>
  </si>
  <si>
    <t>Küte</t>
  </si>
  <si>
    <t>Vesi ja kanalisatsioon</t>
  </si>
  <si>
    <t>Korrashoid</t>
  </si>
  <si>
    <t>Jooksev remont</t>
  </si>
  <si>
    <t>Muud majand kulud (kindl)</t>
  </si>
  <si>
    <t>Kütus</t>
  </si>
  <si>
    <t>remont, hooldus, kindl</t>
  </si>
  <si>
    <t>Isikliku sõiduauto kasutam</t>
  </si>
  <si>
    <t>Riist- ja tarkvara soetus</t>
  </si>
  <si>
    <t>Andmeside</t>
  </si>
  <si>
    <t>Muud (liising)</t>
  </si>
  <si>
    <t>ruumide sisustus ja mööbel</t>
  </si>
  <si>
    <t>hooldus ja remont</t>
  </si>
  <si>
    <t>Õpikud, töövihikud</t>
  </si>
  <si>
    <t>Muud õppevahendid</t>
  </si>
  <si>
    <t>Põhivarade soetamine</t>
  </si>
  <si>
    <t>Laenude ja liisingute tagasimaksed koos intressidega</t>
  </si>
  <si>
    <t xml:space="preserve">Intressi-, viivise- ja kohustistasukulud </t>
  </si>
  <si>
    <t>Põhiosa tagasimakse kulud</t>
  </si>
  <si>
    <t>PERSONALIKULUD</t>
  </si>
  <si>
    <t>MAJANDAMISKULUD</t>
  </si>
  <si>
    <t>ERALDISED</t>
  </si>
  <si>
    <t>1  ÜLDISED VALITSUSSEKTORI TEENUSED</t>
  </si>
  <si>
    <t>VALLAVALITSUS</t>
  </si>
  <si>
    <t>VALLAVOLIKOGU</t>
  </si>
  <si>
    <t>PLANEERIMISTEENUSED</t>
  </si>
  <si>
    <t>SOOJAMAJANDUS</t>
  </si>
  <si>
    <t>TURISM</t>
  </si>
  <si>
    <t>HALDUS</t>
  </si>
  <si>
    <t>4 MAJANDUS   5 KESKKONNAKAITSE   6 ELAMU- JA KOMMUNAALMAJANDUS</t>
  </si>
  <si>
    <t>KOKKU MAJANDUS</t>
  </si>
  <si>
    <t>Liisingud  KOKKU</t>
  </si>
  <si>
    <t>põhiosa</t>
  </si>
  <si>
    <t>intressid</t>
  </si>
  <si>
    <t>arvutite liising (10 tk)</t>
  </si>
  <si>
    <r>
      <t>(2004-</t>
    </r>
    <r>
      <rPr>
        <u val="single"/>
        <sz val="10"/>
        <color indexed="10"/>
        <rFont val="Times New Roman"/>
        <family val="1"/>
      </rPr>
      <t>31443)</t>
    </r>
  </si>
  <si>
    <t>sh. Suuremõisa PK 5 tk</t>
  </si>
  <si>
    <t xml:space="preserve">   Palade PK  3 tk</t>
  </si>
  <si>
    <t xml:space="preserve">   Erastamine- ja maakorraldus</t>
  </si>
  <si>
    <t xml:space="preserve">   Majandushaldus</t>
  </si>
  <si>
    <t>arvutite liising (3 tk) vallav.</t>
  </si>
  <si>
    <t>Laenude tagasimaks   2003</t>
  </si>
  <si>
    <t>Arvelduskrediit (500000)</t>
  </si>
  <si>
    <t>Intr.</t>
  </si>
  <si>
    <t>Summa</t>
  </si>
  <si>
    <t>Lõpp</t>
  </si>
  <si>
    <t>Laenukoormus kuus</t>
  </si>
  <si>
    <t>laen</t>
  </si>
  <si>
    <t>liisingud</t>
  </si>
  <si>
    <t>tuhat krooni</t>
  </si>
  <si>
    <t>Võlgnevuse hinnad:</t>
  </si>
  <si>
    <t>Intress</t>
  </si>
  <si>
    <t>päevas</t>
  </si>
  <si>
    <t>aasta</t>
  </si>
  <si>
    <t>hankija</t>
  </si>
  <si>
    <t>0.5% päev</t>
  </si>
  <si>
    <t>maksuvõlg</t>
  </si>
  <si>
    <t>0.07% päev</t>
  </si>
  <si>
    <t>arvelduskrediit</t>
  </si>
  <si>
    <t>11,5 % aastas</t>
  </si>
  <si>
    <t xml:space="preserve">  +  lepingutasu 1%</t>
  </si>
  <si>
    <t>sh personal</t>
  </si>
  <si>
    <t>Laekumine maavarade kaevandamiselt</t>
  </si>
  <si>
    <t>JÄÄTMEKÄITLUS</t>
  </si>
  <si>
    <t>HALJASTUS</t>
  </si>
  <si>
    <t>KÜLADE HALJASTUS</t>
  </si>
  <si>
    <t>KOKKU KESKKONNAKAITSE</t>
  </si>
  <si>
    <t>VEEVARUSTUS</t>
  </si>
  <si>
    <t>TÄNAVAVALGUSTUS</t>
  </si>
  <si>
    <t>KALMISTUD</t>
  </si>
  <si>
    <t>KOKKU ELAMU- JA KOMMUNAALMAJANDUS</t>
  </si>
  <si>
    <t>alusharidus</t>
  </si>
  <si>
    <t>üldharidus</t>
  </si>
  <si>
    <t>kaunid kunstid</t>
  </si>
  <si>
    <t>eralasteaiad</t>
  </si>
  <si>
    <t>Pangateenused(või lahti kirjutada!)</t>
  </si>
  <si>
    <t xml:space="preserve">Töötajate töötasu/puhkuste asendustasu </t>
  </si>
  <si>
    <t xml:space="preserve">Muud </t>
  </si>
  <si>
    <t>(pangaside)</t>
  </si>
  <si>
    <t>Riist- ja tarkvara soetus, hooldus</t>
  </si>
  <si>
    <t>PALADE LA</t>
  </si>
  <si>
    <t>SUUREMÕISA LA</t>
  </si>
  <si>
    <t>PALADE PK</t>
  </si>
  <si>
    <t>SUUREMÕISA PK</t>
  </si>
  <si>
    <t>ÕPILASLIINID</t>
  </si>
  <si>
    <t>HARIDUS</t>
  </si>
  <si>
    <t>Segalaadilised kulud(proj omafinants)</t>
  </si>
  <si>
    <t>Majandusveod</t>
  </si>
  <si>
    <t>Toiduained</t>
  </si>
  <si>
    <t>ruumide sisustus ja mööbel/tööriided</t>
  </si>
  <si>
    <t>Inventari kulud, v.a IT kulud (va soetused)</t>
  </si>
  <si>
    <t>Laenude ja liisingute tagasimaksed koos intr</t>
  </si>
  <si>
    <t>VABA AEG KULTUUR, SPORT</t>
  </si>
  <si>
    <t>personal</t>
  </si>
  <si>
    <t>Valla eelarveline toetus</t>
  </si>
  <si>
    <t>(tited)</t>
  </si>
  <si>
    <t>Muu perekondade ja laste sotsiaalne kaitse/2004 valla toetused</t>
  </si>
  <si>
    <t>KULTUURI- JA NOORTEKESKUS</t>
  </si>
  <si>
    <t>HELLAMAA RAAMATUKOGU</t>
  </si>
  <si>
    <t>SUUREMÕISA RAAMATUKOGU</t>
  </si>
  <si>
    <t>PALADE RAAMATUKOGU</t>
  </si>
  <si>
    <t>**PALADE SPORDIHOONE</t>
  </si>
  <si>
    <t>KULTUURI HALDUS</t>
  </si>
  <si>
    <t>MUUSEUM/VALLA TEATAJA</t>
  </si>
  <si>
    <t>ÜRITUSED, TEGEVUS JA PROJTOET.</t>
  </si>
  <si>
    <t>Tegevustoetused</t>
  </si>
  <si>
    <t>Projektitoetused ürituste korraldamiseks</t>
  </si>
  <si>
    <t>vald ise</t>
  </si>
  <si>
    <t>(täpsusta!)</t>
  </si>
  <si>
    <t>Kultuuri- ja noortekeskus</t>
  </si>
  <si>
    <t>Tööettevõtulepingu tasu/huviringid</t>
  </si>
  <si>
    <t>Tööettevõtulepingu tasu/puhkuse asend</t>
  </si>
  <si>
    <t xml:space="preserve">MAAKORRALDUS </t>
  </si>
  <si>
    <t>EHITUS</t>
  </si>
  <si>
    <t>PLANEERINGUD</t>
  </si>
  <si>
    <t>PROJEKTIDE OMAFIN</t>
  </si>
  <si>
    <t>Inventari kulud, v.a IT kulud (va pv soetused)</t>
  </si>
  <si>
    <t>Muud majand kulud (kindl) või 2003 10k</t>
  </si>
  <si>
    <t>TEEDE KORRASHOID, LUMETÕRJE</t>
  </si>
  <si>
    <t>Ehitus</t>
  </si>
  <si>
    <t>Territoriaalne planeerimine ja projektide omafinants</t>
  </si>
  <si>
    <t>RAAMATUPIDAMINE</t>
  </si>
  <si>
    <t>INFOTEENISTUS</t>
  </si>
  <si>
    <t>RESERVFOND</t>
  </si>
  <si>
    <t>PÄEVAKESKUS</t>
  </si>
  <si>
    <t>KODUHOOLDUS</t>
  </si>
  <si>
    <t>TOETUSED</t>
  </si>
  <si>
    <t>HOOLDEKODU</t>
  </si>
  <si>
    <t>TERVISHOID</t>
  </si>
  <si>
    <t>SALDO</t>
  </si>
  <si>
    <t>ÕPILASTE ARV</t>
  </si>
  <si>
    <t>kuus (12k)</t>
  </si>
  <si>
    <t>KOHATASU aastas</t>
  </si>
  <si>
    <t>sh riigilt</t>
  </si>
  <si>
    <t>sh tuhandetes kroonides</t>
  </si>
  <si>
    <t>"01"</t>
  </si>
  <si>
    <t>"01</t>
  </si>
  <si>
    <t>"04</t>
  </si>
  <si>
    <t>BUSSIPEATUSED</t>
  </si>
  <si>
    <t>ÜHISTEGEVUS</t>
  </si>
  <si>
    <t>(internet)</t>
  </si>
  <si>
    <t>"01111</t>
  </si>
  <si>
    <t>"01112</t>
  </si>
  <si>
    <t>"01700</t>
  </si>
  <si>
    <t>"01800</t>
  </si>
  <si>
    <t>"01330</t>
  </si>
  <si>
    <t>Kohustuste tagasimaksed</t>
  </si>
  <si>
    <t>"04210</t>
  </si>
  <si>
    <t>"04430</t>
  </si>
  <si>
    <t>"04360</t>
  </si>
  <si>
    <t>"04730</t>
  </si>
  <si>
    <t>"04900</t>
  </si>
  <si>
    <t>"04510</t>
  </si>
  <si>
    <t>"04740</t>
  </si>
  <si>
    <t>"05</t>
  </si>
  <si>
    <t>"05100</t>
  </si>
  <si>
    <t>"05400</t>
  </si>
  <si>
    <t>"05600</t>
  </si>
  <si>
    <t>"06</t>
  </si>
  <si>
    <t>"06300</t>
  </si>
  <si>
    <t>"06400</t>
  </si>
  <si>
    <t>"06602</t>
  </si>
  <si>
    <t>"07</t>
  </si>
  <si>
    <t>"07210</t>
  </si>
  <si>
    <t>"08</t>
  </si>
  <si>
    <t>Vaba aeg, kultuur, religioon</t>
  </si>
  <si>
    <t>Sporditegevus</t>
  </si>
  <si>
    <t>"08102</t>
  </si>
  <si>
    <t>"08105</t>
  </si>
  <si>
    <t>"08109</t>
  </si>
  <si>
    <t>"08201</t>
  </si>
  <si>
    <t>"08202</t>
  </si>
  <si>
    <t>"08203</t>
  </si>
  <si>
    <t>"08208</t>
  </si>
  <si>
    <t>"08300</t>
  </si>
  <si>
    <t>"08600</t>
  </si>
  <si>
    <t>"09</t>
  </si>
  <si>
    <t>"09110</t>
  </si>
  <si>
    <t>"09212</t>
  </si>
  <si>
    <t>"09600</t>
  </si>
  <si>
    <t>Hariduse abiteenused</t>
  </si>
  <si>
    <t xml:space="preserve">HALDUS </t>
  </si>
  <si>
    <t>TEISTELE OV-DELE</t>
  </si>
  <si>
    <t>ABITEENUSED</t>
  </si>
  <si>
    <t>Eraldised KOV üksustele (alusharidus)</t>
  </si>
  <si>
    <t>Eraldised KOV üksustele(põhikoolid ja gümn)</t>
  </si>
  <si>
    <t>"09601</t>
  </si>
  <si>
    <t>"09800</t>
  </si>
  <si>
    <t>"10</t>
  </si>
  <si>
    <t>"10121</t>
  </si>
  <si>
    <t>Haigete ja puuetega inimeste sotsiaalne kaitse</t>
  </si>
  <si>
    <t>"10900</t>
  </si>
  <si>
    <t>"10701</t>
  </si>
  <si>
    <t>"10402</t>
  </si>
  <si>
    <t>"10200</t>
  </si>
  <si>
    <t>Eakate sotsiaalhoolekandeasutused</t>
  </si>
  <si>
    <t>"10201</t>
  </si>
  <si>
    <t>Muu eakate sotsiaalne kaitse (koduteenused)</t>
  </si>
  <si>
    <t>kood</t>
  </si>
  <si>
    <t>Klassifikaatori kirje</t>
  </si>
  <si>
    <t>Laekumised haridusasutuste majandustegevusest sh</t>
  </si>
  <si>
    <t xml:space="preserve">töövihikute tasu Suuremõisa PK      </t>
  </si>
  <si>
    <t xml:space="preserve">töövihikute tasu Palade PK               </t>
  </si>
  <si>
    <t>kohatasu Palade Lasteaed</t>
  </si>
  <si>
    <t>õppekulude tasu Palade Lasteaed</t>
  </si>
  <si>
    <t>toiduraha Palade Lasteaed</t>
  </si>
  <si>
    <t>kohatasu Suuremõisa Lasteaed</t>
  </si>
  <si>
    <t>õppekulude tasu Suuremõisa Lasteaed</t>
  </si>
  <si>
    <t>toiduraha Suuremõisa Lasteaed</t>
  </si>
  <si>
    <t>Laekumised elamu- ja kommunaalasutuste majandustegevusest sh</t>
  </si>
  <si>
    <t>tulu veest ja kanalisatsioonist</t>
  </si>
  <si>
    <t>tulu soojuse müügist</t>
  </si>
  <si>
    <t>tulu muudest kommunaalteenustest</t>
  </si>
  <si>
    <t>Materiaalsete ja immat varade müük</t>
  </si>
  <si>
    <t>Rendi- ja üüritulud mittetoodetud põhivaradelt  sh</t>
  </si>
  <si>
    <t>3502.01</t>
  </si>
  <si>
    <t>3500.00</t>
  </si>
  <si>
    <t>TEISTELE OMAVALITSUSTELE</t>
  </si>
  <si>
    <t>LAENUD JA TEENINDAMINE</t>
  </si>
  <si>
    <t>18/22</t>
  </si>
  <si>
    <t>23/22</t>
  </si>
  <si>
    <t>127/119</t>
  </si>
  <si>
    <t>101/101</t>
  </si>
  <si>
    <t>16/</t>
  </si>
  <si>
    <t>3/</t>
  </si>
  <si>
    <t>102/</t>
  </si>
  <si>
    <t>Info ja pr teenused/vähendus</t>
  </si>
  <si>
    <t>Muud majand kulud/ jagamata/vähendus</t>
  </si>
  <si>
    <t>KULUD TEGEVUSALADE JÄRGI JA FIN.TEHINGUD</t>
  </si>
  <si>
    <t>toiduraha Suuremõisa PK</t>
  </si>
  <si>
    <t>toiduraha Palade PK</t>
  </si>
  <si>
    <t xml:space="preserve">Muud tasud </t>
  </si>
  <si>
    <t xml:space="preserve">Laekumised haridusasutuste majandustegevusest </t>
  </si>
  <si>
    <t xml:space="preserve">Laekumised elamu- ja kommunaalasutuste majandustegevusest </t>
  </si>
  <si>
    <t xml:space="preserve">Rendi- ja üüritulud mittetoodetud põhivaradelt </t>
  </si>
  <si>
    <t>Suuremõisa PK</t>
  </si>
  <si>
    <t>*</t>
  </si>
  <si>
    <t>KULUD</t>
  </si>
  <si>
    <t>Palade PK</t>
  </si>
  <si>
    <t>Palade Põhikool _RE</t>
  </si>
  <si>
    <t>Suuremõisa Põhikool RE</t>
  </si>
  <si>
    <t>Muud hariduskulud-RE</t>
  </si>
  <si>
    <t>Audiitoriteenused/arhiiv</t>
  </si>
  <si>
    <t>(pangaside/hooldused)</t>
  </si>
  <si>
    <t>v.mängud</t>
  </si>
  <si>
    <t>Muud</t>
  </si>
  <si>
    <t>üldmahust</t>
  </si>
  <si>
    <t>üld-
mahust</t>
  </si>
  <si>
    <t>vrld 
2003</t>
  </si>
  <si>
    <t xml:space="preserve">Sihtsuunitlustega vahendite </t>
  </si>
  <si>
    <t>eelarvesse lülitamine</t>
  </si>
  <si>
    <t>Juhindudes Valla- ja linnaeelarve seaduse § 24 (3), Pühalepa valla eelarve menetlemise korra</t>
  </si>
  <si>
    <t>k o r r a l d u s e:</t>
  </si>
  <si>
    <t>1.1 Tulud</t>
  </si>
  <si>
    <t>Selgitus</t>
  </si>
  <si>
    <t>Palade PK ANK</t>
  </si>
  <si>
    <t>Kokku</t>
  </si>
  <si>
    <t>1.2 Kulud</t>
  </si>
  <si>
    <t>2. Teha käesolev korraldus volikogule teatavaks.</t>
  </si>
  <si>
    <t>Ants Orav</t>
  </si>
  <si>
    <t>Vallavanem</t>
  </si>
  <si>
    <t>Riina Lilleõis</t>
  </si>
  <si>
    <t>Vallasekretär</t>
  </si>
  <si>
    <t>teavikute soetamiseks</t>
  </si>
  <si>
    <t>Hellamaa Raamatukogu</t>
  </si>
  <si>
    <t>Suuremõisa Raamatukogu</t>
  </si>
  <si>
    <t>Paide Gümnaasium</t>
  </si>
  <si>
    <t>Paide linn</t>
  </si>
  <si>
    <t>(EELARVES)</t>
  </si>
  <si>
    <t>Tartu vald</t>
  </si>
  <si>
    <t>Lähte ÜG</t>
  </si>
  <si>
    <t xml:space="preserve">Muud majand kulud </t>
  </si>
  <si>
    <t>punktile 4.1 annab Pühalepa Vallavalitsus alljärgneva</t>
  </si>
  <si>
    <t>Majandus- ja Kommunikatsiooniministeerium</t>
  </si>
  <si>
    <t>kohalike teede hoid</t>
  </si>
  <si>
    <t>Hiiumaa Omavalitsusliit</t>
  </si>
  <si>
    <t>Hiiu Maavalitsus</t>
  </si>
  <si>
    <t>Pühalepa kirik</t>
  </si>
  <si>
    <t>Kultuur-religioon</t>
  </si>
  <si>
    <t>Pühalepa kiriku valgustusprojekt</t>
  </si>
  <si>
    <t>O8400</t>
  </si>
  <si>
    <t>Sotsiaalhoolekanne</t>
  </si>
  <si>
    <t xml:space="preserve">Sotsiaalhoolekanne </t>
  </si>
  <si>
    <t>Erivajadused</t>
  </si>
  <si>
    <t>Põhjamaade Ministrite Nõukogu</t>
  </si>
  <si>
    <t>(kultuur)</t>
  </si>
  <si>
    <t>Suuremõisa Noortekeskus</t>
  </si>
  <si>
    <t>(sõprusvald)</t>
  </si>
  <si>
    <t>sportlik koolivaheaeg</t>
  </si>
  <si>
    <t>KIK</t>
  </si>
  <si>
    <t>mänguväljak</t>
  </si>
  <si>
    <t>Suuremõisa Lasteaed</t>
  </si>
  <si>
    <t>mänguväljaku ehitus</t>
  </si>
  <si>
    <t>Tiigrihüpe</t>
  </si>
  <si>
    <t>(Palade PK 2003)</t>
  </si>
  <si>
    <t>investeeringud</t>
  </si>
  <si>
    <t>sportlik-kultuuriline koolivaheaeg</t>
  </si>
  <si>
    <t>teavikute soetus</t>
  </si>
  <si>
    <t>3500.00.06</t>
  </si>
  <si>
    <t>3500.00.07</t>
  </si>
  <si>
    <t>3500.00.14</t>
  </si>
  <si>
    <t>3500.8</t>
  </si>
  <si>
    <t>3500.01</t>
  </si>
  <si>
    <t>3500.00.05</t>
  </si>
  <si>
    <t>3500.03</t>
  </si>
  <si>
    <t>O8201</t>
  </si>
  <si>
    <t>O8202</t>
  </si>
  <si>
    <t>O8203</t>
  </si>
  <si>
    <t>O9212</t>
  </si>
  <si>
    <t>O4510</t>
  </si>
  <si>
    <t>O8107</t>
  </si>
  <si>
    <t>O9110</t>
  </si>
  <si>
    <t>1. Lülitada Pühalepa valla 2004 aasta eelarvesse järgmised sihtsuunitlusega vahendid :</t>
  </si>
  <si>
    <t>Tulud</t>
  </si>
  <si>
    <t>Kulud</t>
  </si>
  <si>
    <t>Lõpe välisvalgustus</t>
  </si>
  <si>
    <t>Suuremõisa välisvalgustus</t>
  </si>
  <si>
    <t>Muud hariduskorrald kulud RE-st</t>
  </si>
  <si>
    <t>Vallavalitsus</t>
  </si>
  <si>
    <t>personalikulud</t>
  </si>
  <si>
    <t>Selgitused</t>
  </si>
  <si>
    <t>haridusüritused, ainesektsioonid (RE summade täpsustus)</t>
  </si>
  <si>
    <t>(aineolümpiaadid: 7(10st) maakonnast edasi vabariikl (kõik Palade PK)+</t>
  </si>
  <si>
    <t>maakondlik vastuvõtt PALADEL(laud); B7Rüggen õpil laager osalemistoetus... )</t>
  </si>
  <si>
    <t xml:space="preserve">NUPUTA  7 kl(Palade PK), Pranglimine Riias(SmPK), PPK näitering </t>
  </si>
  <si>
    <t>majandamiskulud (ürituste korraldamiskulud  ja osalemiskulud, lähetuskulud</t>
  </si>
  <si>
    <t>eraldised (arengukava koostamine TUURU)</t>
  </si>
  <si>
    <t>Hellamaa Perekeskus</t>
  </si>
  <si>
    <t>Paluküla Tervisespordikeskus</t>
  </si>
  <si>
    <t>Suuremõisa mõis (Mõisakool)</t>
  </si>
  <si>
    <t>(hasart)</t>
  </si>
  <si>
    <t>Lossihoov-käsitööait</t>
  </si>
  <si>
    <t>Ettevõtluse Arendamise SA</t>
  </si>
  <si>
    <t>Suuremõisa SH juureehitus</t>
  </si>
  <si>
    <t>Muinsuskaitseamet</t>
  </si>
  <si>
    <t>Sm mõisa ait-kuivati</t>
  </si>
  <si>
    <t xml:space="preserve">21 sajandi kool </t>
  </si>
  <si>
    <t>Suuremõisa tiigid</t>
  </si>
  <si>
    <t>inventari soetus</t>
  </si>
  <si>
    <t>Juurdeehitus</t>
  </si>
  <si>
    <t>Projektitoetus</t>
  </si>
  <si>
    <t>Suuremõisa ait-kuivati</t>
  </si>
  <si>
    <t>katuse ehitus</t>
  </si>
  <si>
    <t>O4870</t>
  </si>
  <si>
    <t>21 saj prog- õppevahendid</t>
  </si>
  <si>
    <t>22 saj prog- õppevahendid</t>
  </si>
  <si>
    <t>mõisakoolihoone remont-restaureerimine</t>
  </si>
  <si>
    <t>Sh juurdeehitus</t>
  </si>
  <si>
    <t>Haljastus</t>
  </si>
  <si>
    <t>Põllumajandusministeerium</t>
  </si>
  <si>
    <t>Muudelt residentidelt</t>
  </si>
  <si>
    <t xml:space="preserve">Tulud varadelt </t>
  </si>
  <si>
    <t>Muud tulud (intressid)</t>
  </si>
  <si>
    <t>Muu kaupade ja teenuste müük (kantselei; üür)</t>
  </si>
  <si>
    <t>sellest
töötasu</t>
  </si>
  <si>
    <t>Sporditegevus- Palade SH</t>
  </si>
  <si>
    <t>Kultuuri- ja noortekeskus Suuremõisas</t>
  </si>
  <si>
    <t>Suuremõisa ait-kuivati/Muinsuskaitse</t>
  </si>
  <si>
    <t>Seltsitegevus</t>
  </si>
  <si>
    <t>Pühalepa kirik (projekt)</t>
  </si>
  <si>
    <t xml:space="preserve">  Suuremõisa LA (projekt)</t>
  </si>
  <si>
    <t xml:space="preserve">   Suuremõisa PK investeeringud</t>
  </si>
  <si>
    <t xml:space="preserve">   Palade Põhikool- investeeringud</t>
  </si>
  <si>
    <t>Muu elamu- ja kommunaalmajanduse tegevus</t>
  </si>
  <si>
    <t>Teiste omavalitsuste põhikoolid ja gümn-d</t>
  </si>
  <si>
    <t>Lisa Pühalepa Vallavalitsuse</t>
  </si>
  <si>
    <t>"Sihtsuunitlustega vahendite eelarvesse lülitamine"</t>
  </si>
  <si>
    <t>korraldusele nr 320 04.08.2004</t>
  </si>
  <si>
    <t>Suuremõisa lossi küttesüsteemi projekteerimine</t>
  </si>
  <si>
    <t>Üldmajanduslikud arendusprojektid</t>
  </si>
  <si>
    <t>O4740</t>
  </si>
  <si>
    <t>2003 eelarve jäägist sihtvahendid</t>
  </si>
  <si>
    <t>Suuremõisa rularada</t>
  </si>
  <si>
    <t>valla teede investeeringutoetus</t>
  </si>
  <si>
    <t>Suuremõisa NK</t>
  </si>
  <si>
    <t>Palade Põhikool</t>
  </si>
  <si>
    <t>Maanteetransport</t>
  </si>
  <si>
    <t>Kassajääk 31.12.2003.a.</t>
  </si>
  <si>
    <t>projektitoetused</t>
  </si>
  <si>
    <t>Hiiumaa ekstreemspordi päevad</t>
  </si>
  <si>
    <t>O6602</t>
  </si>
  <si>
    <t>WC-de ja kuuri ehitused</t>
  </si>
  <si>
    <t>O4511</t>
  </si>
  <si>
    <t>bussipaviljonide remont</t>
  </si>
  <si>
    <t>Veemajandus</t>
  </si>
  <si>
    <t>tegelik kuluvajadus aasta lõpuni</t>
  </si>
  <si>
    <t>O6300</t>
  </si>
  <si>
    <t>Kultuurkapital</t>
  </si>
  <si>
    <t>Merikarvia reisi toetus</t>
  </si>
  <si>
    <t>Majanduse haldus</t>
  </si>
  <si>
    <t>kinnitatud koos 2004 eelarvega</t>
  </si>
  <si>
    <t>O4900</t>
  </si>
  <si>
    <t>O9602</t>
  </si>
  <si>
    <t>O9800</t>
  </si>
  <si>
    <t>O1112</t>
  </si>
  <si>
    <t>Kõue vald</t>
  </si>
  <si>
    <t>Ardu Põhikool</t>
  </si>
  <si>
    <t>Saare maakond</t>
  </si>
  <si>
    <t>Orissaare Gümnaasium</t>
  </si>
  <si>
    <t xml:space="preserve">korraldusele nr   356 09.09.2004.a.    </t>
  </si>
  <si>
    <t>Palade ANK projektid (3;"Terve mina-terve vaim"...)</t>
  </si>
  <si>
    <t>Mitteresidentidelt</t>
  </si>
  <si>
    <t xml:space="preserve">   Suuremõisa Raamatukogu investeering</t>
  </si>
  <si>
    <t>Keila LV</t>
  </si>
  <si>
    <t>Keila Gümnaasium</t>
  </si>
  <si>
    <t xml:space="preserve">Riigilõivud </t>
  </si>
  <si>
    <t>kasutus-ja ehitusload</t>
  </si>
  <si>
    <t xml:space="preserve">Vallavalitsuse muudatusettepanekud 2004  eelarvesse   </t>
  </si>
  <si>
    <t>RE eraldiste täpsustus</t>
  </si>
  <si>
    <t>Tulu varadelt</t>
  </si>
  <si>
    <t>ohtlike jäätmete konteiner</t>
  </si>
  <si>
    <t>Jäätmekäitlus</t>
  </si>
  <si>
    <t>maavarad</t>
  </si>
  <si>
    <t>tarkvara (riigilõivude ülelaekumise arvel)</t>
  </si>
  <si>
    <t>Projektide omafinantseering</t>
  </si>
  <si>
    <t>Suuremõisa spordiinventari soetus kaasfinantseerimine (proj koostamine)</t>
  </si>
  <si>
    <t>O13302</t>
  </si>
  <si>
    <t>O5100</t>
  </si>
  <si>
    <t>A</t>
  </si>
  <si>
    <t>B</t>
  </si>
  <si>
    <t>C</t>
  </si>
  <si>
    <t>D</t>
  </si>
  <si>
    <t>E</t>
  </si>
  <si>
    <t>F</t>
  </si>
  <si>
    <t>Pühalepa kiriku avariiremont</t>
  </si>
  <si>
    <t>O8207</t>
  </si>
  <si>
    <t>investeerimislaen</t>
  </si>
  <si>
    <t>H</t>
  </si>
  <si>
    <t xml:space="preserve">Suuremõisa Raamatukogu </t>
  </si>
  <si>
    <t>remont</t>
  </si>
  <si>
    <t xml:space="preserve">kaetakse teistes üksustes eelarve kokkuhoiu arvelt </t>
  </si>
  <si>
    <t>?</t>
  </si>
  <si>
    <t>Eakate sotsiaalhoolekandeasutus</t>
  </si>
  <si>
    <t>Tohvri Hooldekodu</t>
  </si>
  <si>
    <t>Muu perede ja laste kaitse</t>
  </si>
  <si>
    <t xml:space="preserve">valla vahendid sünnitoetusele </t>
  </si>
  <si>
    <t>kassajääk 2004</t>
  </si>
  <si>
    <t>fintehing</t>
  </si>
  <si>
    <t>Suuremõisa võimla, Lõpe ja Suuremõisa välisvalgustused</t>
  </si>
  <si>
    <t>Tänavavalgustused</t>
  </si>
  <si>
    <t>juurdeehitus</t>
  </si>
  <si>
    <t xml:space="preserve">Suuremõisa võimla </t>
  </si>
  <si>
    <t>J</t>
  </si>
  <si>
    <t>Täiendav kuluvajadus</t>
  </si>
  <si>
    <t>Külade heakorraprojektid</t>
  </si>
  <si>
    <t xml:space="preserve">projektitoetused 2003 </t>
  </si>
  <si>
    <t>projektitoetus</t>
  </si>
  <si>
    <t>sihtvahendid Sm PK-le</t>
  </si>
  <si>
    <t>Munitsipaalkoolidele RE-st</t>
  </si>
  <si>
    <t>Soera Muuseum</t>
  </si>
  <si>
    <t>2003 projekti kassaline kaasfinantseering</t>
  </si>
  <si>
    <t>täiendavad vahendid RE-st</t>
  </si>
  <si>
    <t>koolikorralduslikud muudatused õppeaasta algusest</t>
  </si>
  <si>
    <t>2003 vahendite tagasikanne</t>
  </si>
  <si>
    <t>Suuremõisa Põhikool</t>
  </si>
  <si>
    <t>inventari kulud</t>
  </si>
  <si>
    <t>täiendavad vahendid tegevustoetuseks</t>
  </si>
  <si>
    <t>Suuremõisa 276+11 ja Lõpe 100+4 tuhat krooni</t>
  </si>
  <si>
    <t>katuste renoveerimine</t>
  </si>
  <si>
    <t>10 % laekus 2005 alguses</t>
  </si>
  <si>
    <t>sportlikud koolivaheajad</t>
  </si>
  <si>
    <t>"Omatulude eelarvesse lülitamine"</t>
  </si>
  <si>
    <t>töövihikud</t>
  </si>
  <si>
    <t>toitlustamine</t>
  </si>
  <si>
    <t>Palade Lasteaed</t>
  </si>
  <si>
    <t>omatulud</t>
  </si>
  <si>
    <t>õppevahendite kulud</t>
  </si>
  <si>
    <t>toiduainete kulud</t>
  </si>
  <si>
    <t>personali kulud</t>
  </si>
  <si>
    <t>majanduskulud</t>
  </si>
  <si>
    <t>arvutikomplekt koos tarvikutega</t>
  </si>
  <si>
    <t>mitterahaline toetus</t>
  </si>
  <si>
    <t>sihtvahendid</t>
  </si>
  <si>
    <t>toiduained</t>
  </si>
  <si>
    <t>Keskkonnaministeerium</t>
  </si>
  <si>
    <t>Maavalitsus</t>
  </si>
  <si>
    <t>ainesektsioonid pr</t>
  </si>
  <si>
    <t>projektid</t>
  </si>
  <si>
    <t>projektid (4)</t>
  </si>
  <si>
    <t>Suuremõisa mänguväljak kaasfinan (kassaline)</t>
  </si>
  <si>
    <t>Palade Katlamaja</t>
  </si>
  <si>
    <t>Palade katlamaja</t>
  </si>
  <si>
    <t>majandamiskulud</t>
  </si>
  <si>
    <t>Eelarve</t>
  </si>
  <si>
    <t>Sihtvahendid</t>
  </si>
  <si>
    <t>Omatulud</t>
  </si>
  <si>
    <t>Kultuuri- ja Noortekeskus</t>
  </si>
  <si>
    <t>Palade Spordibaas</t>
  </si>
  <si>
    <t>personali- ja majandamiskulud</t>
  </si>
  <si>
    <t>projektid (2)</t>
  </si>
  <si>
    <t>üritused</t>
  </si>
  <si>
    <t>Haridusasutuste  omatulud (Suuremõisa PK)</t>
  </si>
  <si>
    <t>Haridusasutuste  omatulud (Palade PK)</t>
  </si>
  <si>
    <t>Laekumised kultuuriasutuste majandustegevusest</t>
  </si>
  <si>
    <t>Valitsussektorisse kuuluvatelt SA ja avalik-õiguslik</t>
  </si>
  <si>
    <t>KOV üksustelt ja Ovasutustelt</t>
  </si>
  <si>
    <t>Sihtotstarbelised toetused põhivara soetuseks</t>
  </si>
  <si>
    <t>Mittesihtotstarbelised toetused</t>
  </si>
  <si>
    <t>sh Eraldised hariduskuludeks</t>
  </si>
  <si>
    <t xml:space="preserve">     Tasandusfond </t>
  </si>
  <si>
    <t>Eespool nimetamata muud tulud (sh finantseerimistehingutest)</t>
  </si>
  <si>
    <t xml:space="preserve">Materiaalsete varade ja varude müük     </t>
  </si>
  <si>
    <t>Sihtsuunamine 2003 kassajäägist</t>
  </si>
  <si>
    <t xml:space="preserve">korraldusele nr 500 22.12.2004.a.    </t>
  </si>
  <si>
    <t>korraldusele nr  501 22.12.2004.a.</t>
  </si>
  <si>
    <t>Infoteenistus/audiitor</t>
  </si>
  <si>
    <t>Bussipaviljonid(liikluskorraldus)</t>
  </si>
  <si>
    <t>Vallateede- ja tänavate korrashoid(maanteetransport)</t>
  </si>
  <si>
    <t>Haridusüritused, ainesektsioonid</t>
  </si>
  <si>
    <t>Muu perekondade ja laste sotsiaalne kaitse/valla toetused</t>
  </si>
  <si>
    <t>raha
vood</t>
  </si>
  <si>
    <t>Eakate päevakeskus investeering</t>
  </si>
  <si>
    <t>tulu
laekub</t>
  </si>
  <si>
    <t>ülekanne
eelarvesse</t>
  </si>
  <si>
    <t>Eelarve täitmise aruanne</t>
  </si>
  <si>
    <t>eelarve</t>
  </si>
  <si>
    <t>täitmine</t>
  </si>
  <si>
    <t>LISA nr 4</t>
  </si>
  <si>
    <t>KOKKU TULUD JA SIHTSUUNAMINE</t>
  </si>
  <si>
    <t>KOKKU KULUD JA FINANTSEERIMISTEHINGUD</t>
  </si>
  <si>
    <t>KULUD TEGEVUSALADE JÄRGI JA FIN.TEHINGUD sh</t>
  </si>
  <si>
    <t>Põhikoolid ja lasteaiad (koolipiim)</t>
  </si>
  <si>
    <t>Noortekeskuse katus</t>
  </si>
  <si>
    <t xml:space="preserve">     </t>
  </si>
  <si>
    <t>Rahandusministeerrium</t>
  </si>
  <si>
    <t>Saastetasud</t>
  </si>
  <si>
    <t>Laenu võtmine</t>
  </si>
  <si>
    <t>Sihtsuunamine jäägist</t>
  </si>
  <si>
    <t xml:space="preserve">2005     eelarve </t>
  </si>
  <si>
    <t xml:space="preserve">2005   täitmine    </t>
  </si>
  <si>
    <t>2004 täitmine</t>
  </si>
  <si>
    <t>2004 eelarve</t>
  </si>
  <si>
    <t>Majandusministeerium</t>
  </si>
  <si>
    <t>Maavalitsus (tormikahjude hüvitus)</t>
  </si>
  <si>
    <t>Rahandusministeerrium (Phare pr.)</t>
  </si>
  <si>
    <t>Muud toetused</t>
  </si>
  <si>
    <t>Eesti  Kultuurkapital</t>
  </si>
  <si>
    <t>Muudelt mitteresidentidelt</t>
  </si>
  <si>
    <t>KOV üksustelt ja omavalitsusasutustelt</t>
  </si>
  <si>
    <t>PÜHALEPA VALLA 2005 ja 2004 aasta  EELARVE  TÄITMINE  :  TULUD</t>
  </si>
  <si>
    <t>Lisa 4</t>
  </si>
  <si>
    <t xml:space="preserve">  töövihikute tasu Suuremõisa PK      </t>
  </si>
  <si>
    <t xml:space="preserve">  töövihikute tasu Palade PK               </t>
  </si>
  <si>
    <t xml:space="preserve">  õppekulude tasu Palade Lasteaed</t>
  </si>
  <si>
    <t xml:space="preserve">  toiduraha Palade Lasteaed</t>
  </si>
  <si>
    <t xml:space="preserve">  kohatasu Suuremõisa Lasteaed</t>
  </si>
  <si>
    <t xml:space="preserve">  toiduraha Suuremõisa Lasteaed</t>
  </si>
  <si>
    <t xml:space="preserve">   haridusasutuste  omatulud (Palade PK)</t>
  </si>
  <si>
    <t xml:space="preserve">   haridusasutuste  omatulud (Suuremõisa PK)</t>
  </si>
  <si>
    <t xml:space="preserve">   tulu koolitusteenuste osutamisest</t>
  </si>
  <si>
    <t xml:space="preserve">   tulu ainesektsioonide tegevusest</t>
  </si>
  <si>
    <t xml:space="preserve">  õppekulude tasu Suuremõisa Lasteaed  </t>
  </si>
  <si>
    <t xml:space="preserve">  kohatasu  Palade Lasteaed</t>
  </si>
  <si>
    <t xml:space="preserve">  tasu toitlustamise eest Palade Põhikool</t>
  </si>
  <si>
    <t xml:space="preserve">  tasu toitlustamise eest Suuremõisa Põhikool</t>
  </si>
  <si>
    <t>2005 eelarve</t>
  </si>
  <si>
    <t xml:space="preserve"> </t>
  </si>
  <si>
    <t>Valimiste kulud</t>
  </si>
  <si>
    <t>Päästeteenused</t>
  </si>
  <si>
    <t>Linnumäe, Lõpe välisvalgustus</t>
  </si>
  <si>
    <t xml:space="preserve"> sh.Noortekeskuse katus</t>
  </si>
  <si>
    <t xml:space="preserve">    sh.Suursadama ait</t>
  </si>
  <si>
    <t xml:space="preserve">         Suuremõisa ait-kuivati</t>
  </si>
  <si>
    <t xml:space="preserve">   Lasteaedade pedagoogide koolituskulud</t>
  </si>
  <si>
    <t xml:space="preserve">   Teistele omavalitsustele eelharidusteenused</t>
  </si>
  <si>
    <t>Puuetega inimeste hooldaja toetused</t>
  </si>
  <si>
    <t>Eakate sotsiaalhoolekandeasutused( Tohvri HK)</t>
  </si>
  <si>
    <t>Kassajääk</t>
  </si>
  <si>
    <t>Suuremõisa Raamatukogu investeering</t>
  </si>
  <si>
    <t xml:space="preserve">KULUD  </t>
  </si>
  <si>
    <t>KOKKU KULUD ja FINANTSEERIMISTEHINGUD</t>
  </si>
  <si>
    <t xml:space="preserve">   Munitsipaalkoolide personalikulu, koolitus ja fondiõpikud</t>
  </si>
  <si>
    <t xml:space="preserve">    Põhikoolid (koolipiim)</t>
  </si>
  <si>
    <t xml:space="preserve">   Teistele omavalitsustele haridusteenused</t>
  </si>
  <si>
    <t xml:space="preserve">      Palade Põhikool _RE</t>
  </si>
  <si>
    <t xml:space="preserve">       Muud hariduskulud-RE</t>
  </si>
  <si>
    <t xml:space="preserve">       Suuremõisa Põhikool RE</t>
  </si>
  <si>
    <t xml:space="preserve">2004 eelarve </t>
  </si>
  <si>
    <t>2005      täitmine</t>
  </si>
  <si>
    <t>Kinnitan</t>
  </si>
  <si>
    <t>KOKKU EELARVE(koos sihtsuunamisega)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</si>
</sst>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0.0%"/>
    <numFmt numFmtId="172" formatCode="0.00000000"/>
    <numFmt numFmtId="173" formatCode="#,##0.000"/>
  </numFmts>
  <fonts count="76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0"/>
    </font>
    <font>
      <b/>
      <sz val="12"/>
      <name val="Arial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Arial"/>
      <family val="2"/>
    </font>
    <font>
      <b/>
      <sz val="8"/>
      <color indexed="8"/>
      <name val="Times New Roman"/>
      <family val="1"/>
    </font>
    <font>
      <b/>
      <sz val="8"/>
      <name val="Arial"/>
      <family val="2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8"/>
      <name val="Arial"/>
      <family val="0"/>
    </font>
    <font>
      <b/>
      <i/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u val="single"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color indexed="8"/>
      <name val="Arial"/>
      <family val="0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color indexed="10"/>
      <name val="Arial"/>
      <family val="0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9"/>
      <color indexed="10"/>
      <name val="Times New Roman"/>
      <family val="1"/>
    </font>
    <font>
      <i/>
      <sz val="8"/>
      <color indexed="10"/>
      <name val="Times New Roman"/>
      <family val="1"/>
    </font>
    <font>
      <i/>
      <sz val="8"/>
      <color indexed="10"/>
      <name val="Arial"/>
      <family val="0"/>
    </font>
    <font>
      <b/>
      <i/>
      <sz val="8"/>
      <color indexed="10"/>
      <name val="Arial"/>
      <family val="2"/>
    </font>
    <font>
      <b/>
      <u val="single"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b/>
      <i/>
      <sz val="10"/>
      <color indexed="8"/>
      <name val="Arial"/>
      <family val="2"/>
    </font>
    <font>
      <sz val="9"/>
      <color indexed="8"/>
      <name val="Times New Roman"/>
      <family val="1"/>
    </font>
    <font>
      <sz val="9"/>
      <color indexed="8"/>
      <name val="Arial"/>
      <family val="0"/>
    </font>
    <font>
      <i/>
      <sz val="9"/>
      <color indexed="8"/>
      <name val="Arial"/>
      <family val="2"/>
    </font>
    <font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8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19" applyFont="1" applyFill="1" applyBorder="1" applyAlignment="1">
      <alignment horizontal="left"/>
      <protection/>
    </xf>
    <xf numFmtId="0" fontId="2" fillId="0" borderId="0" xfId="19" applyFont="1" applyFill="1" applyBorder="1">
      <alignment/>
      <protection/>
    </xf>
    <xf numFmtId="0" fontId="2" fillId="0" borderId="0" xfId="19" applyFont="1">
      <alignment/>
      <protection/>
    </xf>
    <xf numFmtId="0" fontId="2" fillId="0" borderId="1" xfId="19" applyFont="1" applyFill="1" applyBorder="1" applyAlignment="1">
      <alignment horizontal="left"/>
      <protection/>
    </xf>
    <xf numFmtId="0" fontId="2" fillId="0" borderId="2" xfId="19" applyFont="1" applyFill="1" applyBorder="1">
      <alignment/>
      <protection/>
    </xf>
    <xf numFmtId="0" fontId="3" fillId="0" borderId="0" xfId="19" applyFont="1" applyFill="1" applyBorder="1">
      <alignment/>
      <protection/>
    </xf>
    <xf numFmtId="0" fontId="2" fillId="0" borderId="3" xfId="19" applyFont="1" applyFill="1" applyBorder="1" applyAlignment="1">
      <alignment horizontal="left"/>
      <protection/>
    </xf>
    <xf numFmtId="0" fontId="2" fillId="0" borderId="4" xfId="19" applyFont="1" applyFill="1" applyBorder="1">
      <alignment/>
      <protection/>
    </xf>
    <xf numFmtId="0" fontId="2" fillId="0" borderId="5" xfId="19" applyFont="1" applyFill="1" applyBorder="1">
      <alignment/>
      <protection/>
    </xf>
    <xf numFmtId="0" fontId="2" fillId="0" borderId="0" xfId="19" applyFont="1" applyFill="1" applyBorder="1">
      <alignment/>
      <protection/>
    </xf>
    <xf numFmtId="0" fontId="2" fillId="0" borderId="3" xfId="19" applyFont="1" applyFill="1" applyBorder="1" applyAlignment="1">
      <alignment horizontal="left"/>
      <protection/>
    </xf>
    <xf numFmtId="0" fontId="2" fillId="0" borderId="5" xfId="19" applyFont="1" applyFill="1" applyBorder="1">
      <alignment/>
      <protection/>
    </xf>
    <xf numFmtId="0" fontId="3" fillId="0" borderId="1" xfId="19" applyFont="1" applyFill="1" applyBorder="1" applyAlignment="1">
      <alignment horizontal="left"/>
      <protection/>
    </xf>
    <xf numFmtId="0" fontId="3" fillId="0" borderId="2" xfId="19" applyFont="1" applyFill="1" applyBorder="1">
      <alignment/>
      <protection/>
    </xf>
    <xf numFmtId="0" fontId="3" fillId="0" borderId="4" xfId="19" applyFont="1" applyFill="1" applyBorder="1">
      <alignment/>
      <protection/>
    </xf>
    <xf numFmtId="0" fontId="3" fillId="0" borderId="3" xfId="19" applyFont="1" applyFill="1" applyBorder="1" applyAlignment="1" quotePrefix="1">
      <alignment horizontal="left"/>
      <protection/>
    </xf>
    <xf numFmtId="0" fontId="3" fillId="0" borderId="5" xfId="19" applyFont="1" applyFill="1" applyBorder="1">
      <alignment/>
      <protection/>
    </xf>
    <xf numFmtId="0" fontId="1" fillId="0" borderId="0" xfId="0" applyFont="1" applyBorder="1" applyAlignment="1">
      <alignment/>
    </xf>
    <xf numFmtId="0" fontId="2" fillId="0" borderId="6" xfId="19" applyFont="1" applyFill="1" applyBorder="1" applyAlignment="1">
      <alignment horizontal="left"/>
      <protection/>
    </xf>
    <xf numFmtId="0" fontId="2" fillId="0" borderId="7" xfId="19" applyFont="1" applyFill="1" applyBorder="1">
      <alignment/>
      <protection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1" xfId="19" applyFont="1" applyFill="1" applyBorder="1" applyAlignment="1" quotePrefix="1">
      <alignment horizontal="left"/>
      <protection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9" xfId="19" applyNumberFormat="1" applyFont="1" applyFill="1" applyBorder="1">
      <alignment/>
      <protection/>
    </xf>
    <xf numFmtId="2" fontId="3" fillId="0" borderId="9" xfId="19" applyNumberFormat="1" applyFont="1" applyFill="1" applyBorder="1">
      <alignment/>
      <protection/>
    </xf>
    <xf numFmtId="2" fontId="1" fillId="0" borderId="4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3" fillId="0" borderId="10" xfId="19" applyNumberFormat="1" applyFont="1" applyFill="1" applyBorder="1">
      <alignment/>
      <protection/>
    </xf>
    <xf numFmtId="2" fontId="1" fillId="2" borderId="5" xfId="0" applyNumberFormat="1" applyFont="1" applyFill="1" applyBorder="1" applyAlignment="1">
      <alignment/>
    </xf>
    <xf numFmtId="2" fontId="3" fillId="2" borderId="10" xfId="19" applyNumberFormat="1" applyFont="1" applyFill="1" applyBorder="1">
      <alignment/>
      <protection/>
    </xf>
    <xf numFmtId="2" fontId="1" fillId="0" borderId="8" xfId="0" applyNumberFormat="1" applyFont="1" applyBorder="1" applyAlignment="1">
      <alignment/>
    </xf>
    <xf numFmtId="2" fontId="3" fillId="0" borderId="11" xfId="19" applyNumberFormat="1" applyFont="1" applyFill="1" applyBorder="1">
      <alignment/>
      <protection/>
    </xf>
    <xf numFmtId="2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16" fontId="3" fillId="0" borderId="0" xfId="19" applyNumberFormat="1" applyFont="1" applyFill="1" applyBorder="1">
      <alignment/>
      <protection/>
    </xf>
    <xf numFmtId="0" fontId="6" fillId="0" borderId="2" xfId="19" applyFont="1" applyFill="1" applyBorder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2" fontId="13" fillId="0" borderId="12" xfId="19" applyNumberFormat="1" applyFont="1" applyFill="1" applyBorder="1">
      <alignment/>
      <protection/>
    </xf>
    <xf numFmtId="2" fontId="13" fillId="0" borderId="13" xfId="19" applyNumberFormat="1" applyFont="1" applyFill="1" applyBorder="1">
      <alignment/>
      <protection/>
    </xf>
    <xf numFmtId="2" fontId="13" fillId="0" borderId="10" xfId="19" applyNumberFormat="1" applyFont="1" applyFill="1" applyBorder="1">
      <alignment/>
      <protection/>
    </xf>
    <xf numFmtId="2" fontId="13" fillId="3" borderId="14" xfId="19" applyNumberFormat="1" applyFont="1" applyFill="1" applyBorder="1">
      <alignment/>
      <protection/>
    </xf>
    <xf numFmtId="2" fontId="13" fillId="0" borderId="14" xfId="19" applyNumberFormat="1" applyFont="1" applyFill="1" applyBorder="1">
      <alignment/>
      <protection/>
    </xf>
    <xf numFmtId="2" fontId="13" fillId="3" borderId="15" xfId="19" applyNumberFormat="1" applyFont="1" applyFill="1" applyBorder="1">
      <alignment/>
      <protection/>
    </xf>
    <xf numFmtId="2" fontId="13" fillId="0" borderId="15" xfId="19" applyNumberFormat="1" applyFont="1" applyFill="1" applyBorder="1">
      <alignment/>
      <protection/>
    </xf>
    <xf numFmtId="0" fontId="2" fillId="0" borderId="1" xfId="19" applyFont="1" applyFill="1" applyBorder="1" applyAlignment="1">
      <alignment horizontal="left"/>
      <protection/>
    </xf>
    <xf numFmtId="0" fontId="2" fillId="0" borderId="2" xfId="19" applyFont="1" applyFill="1" applyBorder="1">
      <alignment/>
      <protection/>
    </xf>
    <xf numFmtId="0" fontId="2" fillId="0" borderId="4" xfId="19" applyFont="1" applyFill="1" applyBorder="1">
      <alignment/>
      <protection/>
    </xf>
    <xf numFmtId="2" fontId="13" fillId="3" borderId="16" xfId="19" applyNumberFormat="1" applyFont="1" applyFill="1" applyBorder="1">
      <alignment/>
      <protection/>
    </xf>
    <xf numFmtId="2" fontId="13" fillId="3" borderId="17" xfId="19" applyNumberFormat="1" applyFont="1" applyFill="1" applyBorder="1">
      <alignment/>
      <protection/>
    </xf>
    <xf numFmtId="1" fontId="14" fillId="0" borderId="0" xfId="0" applyNumberFormat="1" applyFont="1" applyAlignment="1">
      <alignment/>
    </xf>
    <xf numFmtId="2" fontId="1" fillId="0" borderId="13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2" fillId="0" borderId="0" xfId="0" applyFont="1" applyAlignment="1">
      <alignment/>
    </xf>
    <xf numFmtId="2" fontId="12" fillId="0" borderId="4" xfId="0" applyNumberFormat="1" applyFont="1" applyBorder="1" applyAlignment="1">
      <alignment/>
    </xf>
    <xf numFmtId="2" fontId="12" fillId="0" borderId="5" xfId="0" applyNumberFormat="1" applyFont="1" applyBorder="1" applyAlignment="1">
      <alignment/>
    </xf>
    <xf numFmtId="1" fontId="12" fillId="0" borderId="8" xfId="0" applyNumberFormat="1" applyFont="1" applyBorder="1" applyAlignment="1">
      <alignment/>
    </xf>
    <xf numFmtId="2" fontId="12" fillId="0" borderId="4" xfId="0" applyNumberFormat="1" applyFont="1" applyBorder="1" applyAlignment="1">
      <alignment/>
    </xf>
    <xf numFmtId="2" fontId="12" fillId="0" borderId="5" xfId="0" applyNumberFormat="1" applyFont="1" applyBorder="1" applyAlignment="1">
      <alignment/>
    </xf>
    <xf numFmtId="2" fontId="12" fillId="0" borderId="8" xfId="0" applyNumberFormat="1" applyFont="1" applyBorder="1" applyAlignment="1">
      <alignment/>
    </xf>
    <xf numFmtId="2" fontId="12" fillId="0" borderId="8" xfId="0" applyNumberFormat="1" applyFont="1" applyBorder="1" applyAlignment="1">
      <alignment/>
    </xf>
    <xf numFmtId="2" fontId="13" fillId="0" borderId="9" xfId="19" applyNumberFormat="1" applyFont="1" applyFill="1" applyBorder="1">
      <alignment/>
      <protection/>
    </xf>
    <xf numFmtId="0" fontId="14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6" fillId="0" borderId="0" xfId="0" applyFont="1" applyAlignment="1">
      <alignment/>
    </xf>
    <xf numFmtId="0" fontId="2" fillId="0" borderId="0" xfId="19" applyFont="1" applyFill="1" applyBorder="1" applyAlignment="1">
      <alignment horizontal="left"/>
      <protection/>
    </xf>
    <xf numFmtId="2" fontId="13" fillId="0" borderId="0" xfId="19" applyNumberFormat="1" applyFont="1" applyFill="1" applyBorder="1">
      <alignment/>
      <protection/>
    </xf>
    <xf numFmtId="10" fontId="14" fillId="0" borderId="18" xfId="20" applyNumberFormat="1" applyFont="1" applyBorder="1" applyAlignment="1">
      <alignment/>
    </xf>
    <xf numFmtId="0" fontId="3" fillId="0" borderId="19" xfId="19" applyFont="1" applyFill="1" applyBorder="1">
      <alignment/>
      <protection/>
    </xf>
    <xf numFmtId="0" fontId="1" fillId="0" borderId="18" xfId="0" applyFont="1" applyBorder="1" applyAlignment="1">
      <alignment/>
    </xf>
    <xf numFmtId="10" fontId="14" fillId="0" borderId="18" xfId="0" applyNumberFormat="1" applyFont="1" applyBorder="1" applyAlignment="1">
      <alignment/>
    </xf>
    <xf numFmtId="1" fontId="15" fillId="0" borderId="9" xfId="19" applyNumberFormat="1" applyFont="1" applyFill="1" applyBorder="1">
      <alignment/>
      <protection/>
    </xf>
    <xf numFmtId="1" fontId="3" fillId="0" borderId="9" xfId="19" applyNumberFormat="1" applyFont="1" applyFill="1" applyBorder="1">
      <alignment/>
      <protection/>
    </xf>
    <xf numFmtId="0" fontId="17" fillId="0" borderId="3" xfId="19" applyFont="1" applyFill="1" applyBorder="1" applyAlignment="1">
      <alignment horizontal="left"/>
      <protection/>
    </xf>
    <xf numFmtId="0" fontId="18" fillId="0" borderId="0" xfId="19" applyFont="1" applyFill="1" applyBorder="1">
      <alignment/>
      <protection/>
    </xf>
    <xf numFmtId="0" fontId="19" fillId="0" borderId="0" xfId="0" applyFont="1" applyBorder="1" applyAlignment="1">
      <alignment/>
    </xf>
    <xf numFmtId="1" fontId="20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1" fontId="1" fillId="0" borderId="0" xfId="0" applyNumberFormat="1" applyFont="1" applyAlignment="1">
      <alignment/>
    </xf>
    <xf numFmtId="166" fontId="13" fillId="0" borderId="13" xfId="19" applyNumberFormat="1" applyFont="1" applyFill="1" applyBorder="1">
      <alignment/>
      <protection/>
    </xf>
    <xf numFmtId="0" fontId="9" fillId="0" borderId="0" xfId="0" applyFont="1" applyAlignment="1">
      <alignment horizontal="right"/>
    </xf>
    <xf numFmtId="0" fontId="21" fillId="0" borderId="0" xfId="0" applyFont="1" applyAlignment="1">
      <alignment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8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2" xfId="19" applyFont="1" applyFill="1" applyBorder="1">
      <alignment/>
      <protection/>
    </xf>
    <xf numFmtId="0" fontId="27" fillId="0" borderId="4" xfId="19" applyFont="1" applyFill="1" applyBorder="1">
      <alignment/>
      <protection/>
    </xf>
    <xf numFmtId="0" fontId="21" fillId="0" borderId="0" xfId="19" applyFont="1" applyFill="1" applyBorder="1">
      <alignment/>
      <protection/>
    </xf>
    <xf numFmtId="0" fontId="21" fillId="0" borderId="14" xfId="19" applyFont="1" applyFill="1" applyBorder="1">
      <alignment/>
      <protection/>
    </xf>
    <xf numFmtId="164" fontId="21" fillId="0" borderId="14" xfId="19" applyNumberFormat="1" applyFont="1" applyFill="1" applyBorder="1">
      <alignment/>
      <protection/>
    </xf>
    <xf numFmtId="2" fontId="21" fillId="0" borderId="14" xfId="19" applyNumberFormat="1" applyFont="1" applyFill="1" applyBorder="1">
      <alignment/>
      <protection/>
    </xf>
    <xf numFmtId="0" fontId="21" fillId="0" borderId="20" xfId="19" applyFont="1" applyFill="1" applyBorder="1">
      <alignment/>
      <protection/>
    </xf>
    <xf numFmtId="164" fontId="21" fillId="0" borderId="20" xfId="19" applyNumberFormat="1" applyFont="1" applyFill="1" applyBorder="1">
      <alignment/>
      <protection/>
    </xf>
    <xf numFmtId="0" fontId="21" fillId="0" borderId="19" xfId="19" applyFont="1" applyFill="1" applyBorder="1">
      <alignment/>
      <protection/>
    </xf>
    <xf numFmtId="0" fontId="21" fillId="0" borderId="21" xfId="19" applyFont="1" applyFill="1" applyBorder="1">
      <alignment/>
      <protection/>
    </xf>
    <xf numFmtId="164" fontId="21" fillId="0" borderId="21" xfId="19" applyNumberFormat="1" applyFont="1" applyFill="1" applyBorder="1">
      <alignment/>
      <protection/>
    </xf>
    <xf numFmtId="0" fontId="21" fillId="0" borderId="15" xfId="19" applyFont="1" applyFill="1" applyBorder="1">
      <alignment/>
      <protection/>
    </xf>
    <xf numFmtId="164" fontId="21" fillId="0" borderId="15" xfId="19" applyNumberFormat="1" applyFont="1" applyFill="1" applyBorder="1">
      <alignment/>
      <protection/>
    </xf>
    <xf numFmtId="2" fontId="21" fillId="0" borderId="15" xfId="19" applyNumberFormat="1" applyFont="1" applyFill="1" applyBorder="1">
      <alignment/>
      <protection/>
    </xf>
    <xf numFmtId="2" fontId="21" fillId="0" borderId="18" xfId="19" applyNumberFormat="1" applyFont="1" applyFill="1" applyBorder="1">
      <alignment/>
      <protection/>
    </xf>
    <xf numFmtId="0" fontId="21" fillId="0" borderId="22" xfId="19" applyFont="1" applyFill="1" applyBorder="1">
      <alignment/>
      <protection/>
    </xf>
    <xf numFmtId="0" fontId="21" fillId="0" borderId="18" xfId="19" applyFont="1" applyFill="1" applyBorder="1">
      <alignment/>
      <protection/>
    </xf>
    <xf numFmtId="0" fontId="21" fillId="0" borderId="15" xfId="19" applyFont="1" applyFill="1" applyBorder="1" applyAlignment="1">
      <alignment/>
      <protection/>
    </xf>
    <xf numFmtId="0" fontId="21" fillId="0" borderId="14" xfId="19" applyFont="1" applyFill="1" applyBorder="1" applyAlignment="1">
      <alignment/>
      <protection/>
    </xf>
    <xf numFmtId="0" fontId="21" fillId="0" borderId="5" xfId="19" applyFont="1" applyFill="1" applyBorder="1">
      <alignment/>
      <protection/>
    </xf>
    <xf numFmtId="0" fontId="21" fillId="0" borderId="0" xfId="0" applyFont="1" applyBorder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2" fontId="28" fillId="0" borderId="15" xfId="19" applyNumberFormat="1" applyFont="1" applyFill="1" applyBorder="1">
      <alignment/>
      <protection/>
    </xf>
    <xf numFmtId="0" fontId="28" fillId="0" borderId="0" xfId="0" applyFont="1" applyAlignment="1">
      <alignment/>
    </xf>
    <xf numFmtId="2" fontId="21" fillId="0" borderId="0" xfId="19" applyNumberFormat="1" applyFont="1" applyFill="1" applyBorder="1">
      <alignment/>
      <protection/>
    </xf>
    <xf numFmtId="2" fontId="21" fillId="2" borderId="0" xfId="19" applyNumberFormat="1" applyFont="1" applyFill="1" applyBorder="1">
      <alignment/>
      <protection/>
    </xf>
    <xf numFmtId="2" fontId="28" fillId="2" borderId="0" xfId="19" applyNumberFormat="1" applyFont="1" applyFill="1" applyBorder="1">
      <alignment/>
      <protection/>
    </xf>
    <xf numFmtId="0" fontId="21" fillId="0" borderId="13" xfId="19" applyFont="1" applyFill="1" applyBorder="1">
      <alignment/>
      <protection/>
    </xf>
    <xf numFmtId="164" fontId="21" fillId="0" borderId="13" xfId="19" applyNumberFormat="1" applyFont="1" applyFill="1" applyBorder="1">
      <alignment/>
      <protection/>
    </xf>
    <xf numFmtId="1" fontId="27" fillId="0" borderId="9" xfId="19" applyNumberFormat="1" applyFont="1" applyFill="1" applyBorder="1">
      <alignment/>
      <protection/>
    </xf>
    <xf numFmtId="1" fontId="21" fillId="0" borderId="15" xfId="19" applyNumberFormat="1" applyFont="1" applyFill="1" applyBorder="1">
      <alignment/>
      <protection/>
    </xf>
    <xf numFmtId="1" fontId="21" fillId="0" borderId="14" xfId="19" applyNumberFormat="1" applyFont="1" applyFill="1" applyBorder="1">
      <alignment/>
      <protection/>
    </xf>
    <xf numFmtId="1" fontId="21" fillId="0" borderId="20" xfId="19" applyNumberFormat="1" applyFont="1" applyFill="1" applyBorder="1">
      <alignment/>
      <protection/>
    </xf>
    <xf numFmtId="1" fontId="27" fillId="0" borderId="16" xfId="19" applyNumberFormat="1" applyFont="1" applyFill="1" applyBorder="1">
      <alignment/>
      <protection/>
    </xf>
    <xf numFmtId="1" fontId="30" fillId="0" borderId="16" xfId="19" applyNumberFormat="1" applyFont="1" applyFill="1" applyBorder="1">
      <alignment/>
      <protection/>
    </xf>
    <xf numFmtId="1" fontId="28" fillId="0" borderId="15" xfId="19" applyNumberFormat="1" applyFont="1" applyFill="1" applyBorder="1">
      <alignment/>
      <protection/>
    </xf>
    <xf numFmtId="1" fontId="28" fillId="0" borderId="14" xfId="19" applyNumberFormat="1" applyFont="1" applyFill="1" applyBorder="1">
      <alignment/>
      <protection/>
    </xf>
    <xf numFmtId="1" fontId="28" fillId="0" borderId="20" xfId="19" applyNumberFormat="1" applyFont="1" applyFill="1" applyBorder="1">
      <alignment/>
      <protection/>
    </xf>
    <xf numFmtId="1" fontId="21" fillId="0" borderId="13" xfId="19" applyNumberFormat="1" applyFont="1" applyFill="1" applyBorder="1">
      <alignment/>
      <protection/>
    </xf>
    <xf numFmtId="1" fontId="28" fillId="0" borderId="13" xfId="19" applyNumberFormat="1" applyFont="1" applyFill="1" applyBorder="1">
      <alignment/>
      <protection/>
    </xf>
    <xf numFmtId="1" fontId="21" fillId="0" borderId="12" xfId="19" applyNumberFormat="1" applyFont="1" applyFill="1" applyBorder="1">
      <alignment/>
      <protection/>
    </xf>
    <xf numFmtId="0" fontId="28" fillId="0" borderId="0" xfId="0" applyFont="1" applyBorder="1" applyAlignment="1">
      <alignment/>
    </xf>
    <xf numFmtId="0" fontId="27" fillId="0" borderId="0" xfId="19" applyFont="1" applyFill="1" applyBorder="1">
      <alignment/>
      <protection/>
    </xf>
    <xf numFmtId="0" fontId="27" fillId="0" borderId="19" xfId="19" applyFont="1" applyFill="1" applyBorder="1">
      <alignment/>
      <protection/>
    </xf>
    <xf numFmtId="0" fontId="27" fillId="0" borderId="21" xfId="19" applyFont="1" applyFill="1" applyBorder="1">
      <alignment/>
      <protection/>
    </xf>
    <xf numFmtId="164" fontId="27" fillId="0" borderId="18" xfId="19" applyNumberFormat="1" applyFont="1" applyFill="1" applyBorder="1">
      <alignment/>
      <protection/>
    </xf>
    <xf numFmtId="2" fontId="27" fillId="0" borderId="18" xfId="19" applyNumberFormat="1" applyFont="1" applyFill="1" applyBorder="1">
      <alignment/>
      <protection/>
    </xf>
    <xf numFmtId="1" fontId="27" fillId="0" borderId="14" xfId="19" applyNumberFormat="1" applyFont="1" applyFill="1" applyBorder="1">
      <alignment/>
      <protection/>
    </xf>
    <xf numFmtId="1" fontId="30" fillId="0" borderId="14" xfId="19" applyNumberFormat="1" applyFont="1" applyFill="1" applyBorder="1">
      <alignment/>
      <protection/>
    </xf>
    <xf numFmtId="0" fontId="27" fillId="0" borderId="15" xfId="19" applyFont="1" applyFill="1" applyBorder="1">
      <alignment/>
      <protection/>
    </xf>
    <xf numFmtId="164" fontId="27" fillId="0" borderId="15" xfId="19" applyNumberFormat="1" applyFont="1" applyFill="1" applyBorder="1">
      <alignment/>
      <protection/>
    </xf>
    <xf numFmtId="2" fontId="27" fillId="0" borderId="14" xfId="19" applyNumberFormat="1" applyFont="1" applyFill="1" applyBorder="1">
      <alignment/>
      <protection/>
    </xf>
    <xf numFmtId="0" fontId="27" fillId="0" borderId="14" xfId="19" applyFont="1" applyFill="1" applyBorder="1">
      <alignment/>
      <protection/>
    </xf>
    <xf numFmtId="164" fontId="27" fillId="0" borderId="14" xfId="19" applyNumberFormat="1" applyFont="1" applyFill="1" applyBorder="1">
      <alignment/>
      <protection/>
    </xf>
    <xf numFmtId="1" fontId="27" fillId="0" borderId="15" xfId="19" applyNumberFormat="1" applyFont="1" applyFill="1" applyBorder="1">
      <alignment/>
      <protection/>
    </xf>
    <xf numFmtId="0" fontId="27" fillId="0" borderId="20" xfId="19" applyFont="1" applyFill="1" applyBorder="1">
      <alignment/>
      <protection/>
    </xf>
    <xf numFmtId="164" fontId="27" fillId="0" borderId="20" xfId="19" applyNumberFormat="1" applyFont="1" applyFill="1" applyBorder="1">
      <alignment/>
      <protection/>
    </xf>
    <xf numFmtId="0" fontId="21" fillId="0" borderId="23" xfId="19" applyFont="1" applyFill="1" applyBorder="1">
      <alignment/>
      <protection/>
    </xf>
    <xf numFmtId="164" fontId="21" fillId="0" borderId="24" xfId="19" applyNumberFormat="1" applyFont="1" applyFill="1" applyBorder="1">
      <alignment/>
      <protection/>
    </xf>
    <xf numFmtId="1" fontId="30" fillId="0" borderId="17" xfId="19" applyNumberFormat="1" applyFont="1" applyFill="1" applyBorder="1">
      <alignment/>
      <protection/>
    </xf>
    <xf numFmtId="0" fontId="27" fillId="0" borderId="1" xfId="19" applyFont="1" applyFill="1" applyBorder="1">
      <alignment/>
      <protection/>
    </xf>
    <xf numFmtId="1" fontId="27" fillId="0" borderId="18" xfId="19" applyNumberFormat="1" applyFont="1" applyFill="1" applyBorder="1">
      <alignment/>
      <protection/>
    </xf>
    <xf numFmtId="0" fontId="31" fillId="0" borderId="0" xfId="0" applyFont="1" applyAlignment="1">
      <alignment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1" fontId="21" fillId="0" borderId="0" xfId="0" applyNumberFormat="1" applyFont="1" applyBorder="1" applyAlignment="1">
      <alignment/>
    </xf>
    <xf numFmtId="1" fontId="27" fillId="0" borderId="0" xfId="0" applyNumberFormat="1" applyFont="1" applyBorder="1" applyAlignment="1">
      <alignment horizontal="right"/>
    </xf>
    <xf numFmtId="1" fontId="27" fillId="0" borderId="0" xfId="0" applyNumberFormat="1" applyFont="1" applyBorder="1" applyAlignment="1">
      <alignment/>
    </xf>
    <xf numFmtId="1" fontId="31" fillId="0" borderId="0" xfId="0" applyNumberFormat="1" applyFont="1" applyAlignment="1">
      <alignment/>
    </xf>
    <xf numFmtId="0" fontId="13" fillId="0" borderId="0" xfId="0" applyFont="1" applyAlignment="1">
      <alignment/>
    </xf>
    <xf numFmtId="0" fontId="34" fillId="0" borderId="0" xfId="0" applyFont="1" applyAlignment="1">
      <alignment/>
    </xf>
    <xf numFmtId="1" fontId="35" fillId="0" borderId="0" xfId="0" applyNumberFormat="1" applyFont="1" applyBorder="1" applyAlignment="1">
      <alignment/>
    </xf>
    <xf numFmtId="1" fontId="36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" fontId="27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15" fillId="0" borderId="0" xfId="0" applyFont="1" applyAlignment="1">
      <alignment/>
    </xf>
    <xf numFmtId="0" fontId="34" fillId="0" borderId="0" xfId="0" applyFont="1" applyAlignment="1">
      <alignment horizontal="right"/>
    </xf>
    <xf numFmtId="171" fontId="15" fillId="0" borderId="0" xfId="20" applyNumberFormat="1" applyFont="1" applyAlignment="1">
      <alignment/>
    </xf>
    <xf numFmtId="0" fontId="31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NumberFormat="1" applyFont="1" applyBorder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171" fontId="0" fillId="0" borderId="0" xfId="0" applyNumberFormat="1" applyAlignment="1">
      <alignment/>
    </xf>
    <xf numFmtId="0" fontId="40" fillId="0" borderId="0" xfId="0" applyFont="1" applyAlignment="1">
      <alignment horizontal="right"/>
    </xf>
    <xf numFmtId="1" fontId="40" fillId="0" borderId="0" xfId="0" applyNumberFormat="1" applyFont="1" applyAlignment="1">
      <alignment/>
    </xf>
    <xf numFmtId="165" fontId="40" fillId="0" borderId="0" xfId="0" applyNumberFormat="1" applyFont="1" applyAlignment="1">
      <alignment/>
    </xf>
    <xf numFmtId="0" fontId="32" fillId="0" borderId="0" xfId="0" applyFont="1" applyAlignment="1">
      <alignment/>
    </xf>
    <xf numFmtId="0" fontId="42" fillId="0" borderId="0" xfId="0" applyFont="1" applyAlignment="1">
      <alignment/>
    </xf>
    <xf numFmtId="0" fontId="32" fillId="0" borderId="0" xfId="0" applyFont="1" applyBorder="1" applyAlignment="1">
      <alignment/>
    </xf>
    <xf numFmtId="0" fontId="0" fillId="0" borderId="0" xfId="0" applyAlignment="1">
      <alignment horizontal="right"/>
    </xf>
    <xf numFmtId="171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32" fillId="0" borderId="0" xfId="0" applyFont="1" applyAlignment="1">
      <alignment horizontal="left"/>
    </xf>
    <xf numFmtId="0" fontId="36" fillId="0" borderId="0" xfId="0" applyFont="1" applyAlignment="1">
      <alignment/>
    </xf>
    <xf numFmtId="165" fontId="13" fillId="3" borderId="16" xfId="19" applyNumberFormat="1" applyFont="1" applyFill="1" applyBorder="1">
      <alignment/>
      <protection/>
    </xf>
    <xf numFmtId="1" fontId="12" fillId="0" borderId="4" xfId="0" applyNumberFormat="1" applyFont="1" applyBorder="1" applyAlignment="1">
      <alignment/>
    </xf>
    <xf numFmtId="1" fontId="12" fillId="0" borderId="5" xfId="0" applyNumberFormat="1" applyFont="1" applyBorder="1" applyAlignment="1">
      <alignment/>
    </xf>
    <xf numFmtId="1" fontId="12" fillId="0" borderId="4" xfId="0" applyNumberFormat="1" applyFont="1" applyBorder="1" applyAlignment="1">
      <alignment/>
    </xf>
    <xf numFmtId="1" fontId="12" fillId="0" borderId="5" xfId="0" applyNumberFormat="1" applyFont="1" applyBorder="1" applyAlignment="1">
      <alignment/>
    </xf>
    <xf numFmtId="1" fontId="12" fillId="0" borderId="8" xfId="0" applyNumberFormat="1" applyFont="1" applyBorder="1" applyAlignment="1">
      <alignment/>
    </xf>
    <xf numFmtId="1" fontId="20" fillId="0" borderId="2" xfId="0" applyNumberFormat="1" applyFont="1" applyBorder="1" applyAlignment="1">
      <alignment/>
    </xf>
    <xf numFmtId="1" fontId="13" fillId="0" borderId="9" xfId="19" applyNumberFormat="1" applyFont="1" applyFill="1" applyBorder="1">
      <alignment/>
      <protection/>
    </xf>
    <xf numFmtId="1" fontId="13" fillId="0" borderId="12" xfId="19" applyNumberFormat="1" applyFont="1" applyFill="1" applyBorder="1">
      <alignment/>
      <protection/>
    </xf>
    <xf numFmtId="1" fontId="13" fillId="3" borderId="16" xfId="19" applyNumberFormat="1" applyFont="1" applyFill="1" applyBorder="1">
      <alignment/>
      <protection/>
    </xf>
    <xf numFmtId="1" fontId="13" fillId="3" borderId="15" xfId="19" applyNumberFormat="1" applyFont="1" applyFill="1" applyBorder="1">
      <alignment/>
      <protection/>
    </xf>
    <xf numFmtId="1" fontId="13" fillId="3" borderId="14" xfId="19" applyNumberFormat="1" applyFont="1" applyFill="1" applyBorder="1">
      <alignment/>
      <protection/>
    </xf>
    <xf numFmtId="165" fontId="13" fillId="0" borderId="13" xfId="19" applyNumberFormat="1" applyFont="1" applyFill="1" applyBorder="1">
      <alignment/>
      <protection/>
    </xf>
    <xf numFmtId="165" fontId="13" fillId="0" borderId="15" xfId="19" applyNumberFormat="1" applyFont="1" applyFill="1" applyBorder="1">
      <alignment/>
      <protection/>
    </xf>
    <xf numFmtId="165" fontId="13" fillId="0" borderId="14" xfId="19" applyNumberFormat="1" applyFont="1" applyFill="1" applyBorder="1">
      <alignment/>
      <protection/>
    </xf>
    <xf numFmtId="1" fontId="21" fillId="0" borderId="18" xfId="19" applyNumberFormat="1" applyFont="1" applyFill="1" applyBorder="1">
      <alignment/>
      <protection/>
    </xf>
    <xf numFmtId="1" fontId="27" fillId="0" borderId="25" xfId="19" applyNumberFormat="1" applyFont="1" applyFill="1" applyBorder="1">
      <alignment/>
      <protection/>
    </xf>
    <xf numFmtId="1" fontId="27" fillId="0" borderId="2" xfId="19" applyNumberFormat="1" applyFont="1" applyFill="1" applyBorder="1">
      <alignment/>
      <protection/>
    </xf>
    <xf numFmtId="1" fontId="27" fillId="0" borderId="26" xfId="19" applyNumberFormat="1" applyFont="1" applyFill="1" applyBorder="1">
      <alignment/>
      <protection/>
    </xf>
    <xf numFmtId="0" fontId="27" fillId="0" borderId="7" xfId="19" applyFont="1" applyFill="1" applyBorder="1">
      <alignment/>
      <protection/>
    </xf>
    <xf numFmtId="0" fontId="27" fillId="0" borderId="8" xfId="19" applyFont="1" applyFill="1" applyBorder="1">
      <alignment/>
      <protection/>
    </xf>
    <xf numFmtId="0" fontId="27" fillId="0" borderId="19" xfId="0" applyFont="1" applyBorder="1" applyAlignment="1">
      <alignment/>
    </xf>
    <xf numFmtId="0" fontId="27" fillId="0" borderId="21" xfId="19" applyFont="1" applyFill="1" applyBorder="1" quotePrefix="1">
      <alignment/>
      <protection/>
    </xf>
    <xf numFmtId="0" fontId="27" fillId="0" borderId="14" xfId="0" applyFont="1" applyBorder="1" applyAlignment="1">
      <alignment horizontal="center" textRotation="90"/>
    </xf>
    <xf numFmtId="9" fontId="21" fillId="0" borderId="0" xfId="20" applyFont="1" applyAlignment="1">
      <alignment/>
    </xf>
    <xf numFmtId="1" fontId="27" fillId="0" borderId="2" xfId="0" applyNumberFormat="1" applyFont="1" applyBorder="1" applyAlignment="1">
      <alignment/>
    </xf>
    <xf numFmtId="0" fontId="30" fillId="0" borderId="14" xfId="0" applyFont="1" applyBorder="1" applyAlignment="1">
      <alignment horizontal="center" textRotation="90"/>
    </xf>
    <xf numFmtId="0" fontId="27" fillId="0" borderId="14" xfId="0" applyNumberFormat="1" applyFont="1" applyBorder="1" applyAlignment="1">
      <alignment horizontal="center" textRotation="90" wrapText="1"/>
    </xf>
    <xf numFmtId="0" fontId="43" fillId="0" borderId="21" xfId="0" applyFont="1" applyBorder="1" applyAlignment="1">
      <alignment horizontal="center" wrapText="1"/>
    </xf>
    <xf numFmtId="9" fontId="27" fillId="0" borderId="0" xfId="20" applyFont="1" applyAlignment="1">
      <alignment/>
    </xf>
    <xf numFmtId="0" fontId="21" fillId="0" borderId="0" xfId="0" applyFont="1" applyAlignment="1">
      <alignment horizontal="right"/>
    </xf>
    <xf numFmtId="165" fontId="12" fillId="0" borderId="4" xfId="0" applyNumberFormat="1" applyFont="1" applyBorder="1" applyAlignment="1">
      <alignment/>
    </xf>
    <xf numFmtId="165" fontId="12" fillId="0" borderId="5" xfId="0" applyNumberFormat="1" applyFont="1" applyBorder="1" applyAlignment="1">
      <alignment/>
    </xf>
    <xf numFmtId="165" fontId="12" fillId="0" borderId="5" xfId="0" applyNumberFormat="1" applyFont="1" applyBorder="1" applyAlignment="1">
      <alignment/>
    </xf>
    <xf numFmtId="1" fontId="27" fillId="0" borderId="17" xfId="19" applyNumberFormat="1" applyFont="1" applyFill="1" applyBorder="1">
      <alignment/>
      <protection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  <xf numFmtId="0" fontId="27" fillId="0" borderId="29" xfId="0" applyFont="1" applyBorder="1" applyAlignment="1">
      <alignment/>
    </xf>
    <xf numFmtId="0" fontId="27" fillId="0" borderId="20" xfId="0" applyFont="1" applyBorder="1" applyAlignment="1">
      <alignment horizontal="center" textRotation="90"/>
    </xf>
    <xf numFmtId="0" fontId="21" fillId="0" borderId="20" xfId="19" applyFont="1" applyFill="1" applyBorder="1" applyAlignment="1">
      <alignment/>
      <protection/>
    </xf>
    <xf numFmtId="0" fontId="27" fillId="0" borderId="30" xfId="19" applyFont="1" applyFill="1" applyBorder="1">
      <alignment/>
      <protection/>
    </xf>
    <xf numFmtId="0" fontId="21" fillId="0" borderId="27" xfId="19" applyFont="1" applyFill="1" applyBorder="1">
      <alignment/>
      <protection/>
    </xf>
    <xf numFmtId="0" fontId="44" fillId="0" borderId="14" xfId="0" applyFont="1" applyBorder="1" applyAlignment="1">
      <alignment horizontal="center" textRotation="90"/>
    </xf>
    <xf numFmtId="0" fontId="44" fillId="0" borderId="31" xfId="0" applyFont="1" applyBorder="1" applyAlignment="1">
      <alignment horizontal="center" textRotation="90"/>
    </xf>
    <xf numFmtId="0" fontId="44" fillId="0" borderId="32" xfId="0" applyNumberFormat="1" applyFont="1" applyBorder="1" applyAlignment="1">
      <alignment horizontal="center" textRotation="90" wrapText="1"/>
    </xf>
    <xf numFmtId="0" fontId="15" fillId="0" borderId="28" xfId="19" applyFont="1" applyFill="1" applyBorder="1">
      <alignment/>
      <protection/>
    </xf>
    <xf numFmtId="0" fontId="30" fillId="0" borderId="20" xfId="0" applyFont="1" applyBorder="1" applyAlignment="1">
      <alignment horizontal="center" textRotation="90"/>
    </xf>
    <xf numFmtId="0" fontId="27" fillId="0" borderId="20" xfId="0" applyNumberFormat="1" applyFont="1" applyBorder="1" applyAlignment="1">
      <alignment horizontal="center" textRotation="90" wrapText="1"/>
    </xf>
    <xf numFmtId="0" fontId="27" fillId="0" borderId="21" xfId="0" applyFont="1" applyBorder="1" applyAlignment="1">
      <alignment/>
    </xf>
    <xf numFmtId="0" fontId="27" fillId="0" borderId="18" xfId="0" applyFont="1" applyBorder="1" applyAlignment="1">
      <alignment/>
    </xf>
    <xf numFmtId="1" fontId="30" fillId="0" borderId="9" xfId="19" applyNumberFormat="1" applyFont="1" applyFill="1" applyBorder="1">
      <alignment/>
      <protection/>
    </xf>
    <xf numFmtId="1" fontId="28" fillId="0" borderId="23" xfId="19" applyNumberFormat="1" applyFont="1" applyFill="1" applyBorder="1">
      <alignment/>
      <protection/>
    </xf>
    <xf numFmtId="1" fontId="28" fillId="0" borderId="19" xfId="19" applyNumberFormat="1" applyFont="1" applyFill="1" applyBorder="1">
      <alignment/>
      <protection/>
    </xf>
    <xf numFmtId="1" fontId="28" fillId="0" borderId="27" xfId="19" applyNumberFormat="1" applyFont="1" applyFill="1" applyBorder="1">
      <alignment/>
      <protection/>
    </xf>
    <xf numFmtId="1" fontId="27" fillId="0" borderId="23" xfId="19" applyNumberFormat="1" applyFont="1" applyFill="1" applyBorder="1">
      <alignment/>
      <protection/>
    </xf>
    <xf numFmtId="2" fontId="28" fillId="0" borderId="23" xfId="19" applyNumberFormat="1" applyFont="1" applyFill="1" applyBorder="1">
      <alignment/>
      <protection/>
    </xf>
    <xf numFmtId="1" fontId="30" fillId="0" borderId="19" xfId="19" applyNumberFormat="1" applyFont="1" applyFill="1" applyBorder="1">
      <alignment/>
      <protection/>
    </xf>
    <xf numFmtId="1" fontId="27" fillId="0" borderId="19" xfId="19" applyNumberFormat="1" applyFont="1" applyFill="1" applyBorder="1">
      <alignment/>
      <protection/>
    </xf>
    <xf numFmtId="1" fontId="27" fillId="0" borderId="21" xfId="19" applyNumberFormat="1" applyFont="1" applyFill="1" applyBorder="1">
      <alignment/>
      <protection/>
    </xf>
    <xf numFmtId="1" fontId="28" fillId="0" borderId="12" xfId="19" applyNumberFormat="1" applyFont="1" applyFill="1" applyBorder="1">
      <alignment/>
      <protection/>
    </xf>
    <xf numFmtId="1" fontId="27" fillId="0" borderId="14" xfId="0" applyNumberFormat="1" applyFont="1" applyBorder="1" applyAlignment="1">
      <alignment/>
    </xf>
    <xf numFmtId="2" fontId="28" fillId="0" borderId="14" xfId="19" applyNumberFormat="1" applyFont="1" applyFill="1" applyBorder="1">
      <alignment/>
      <protection/>
    </xf>
    <xf numFmtId="0" fontId="27" fillId="0" borderId="28" xfId="19" applyFont="1" applyFill="1" applyBorder="1" quotePrefix="1">
      <alignment/>
      <protection/>
    </xf>
    <xf numFmtId="1" fontId="27" fillId="0" borderId="15" xfId="0" applyNumberFormat="1" applyFont="1" applyBorder="1" applyAlignment="1">
      <alignment/>
    </xf>
    <xf numFmtId="1" fontId="27" fillId="0" borderId="17" xfId="0" applyNumberFormat="1" applyFont="1" applyBorder="1" applyAlignment="1">
      <alignment/>
    </xf>
    <xf numFmtId="0" fontId="27" fillId="0" borderId="31" xfId="19" applyFont="1" applyFill="1" applyBorder="1">
      <alignment/>
      <protection/>
    </xf>
    <xf numFmtId="0" fontId="21" fillId="0" borderId="12" xfId="19" applyFont="1" applyFill="1" applyBorder="1">
      <alignment/>
      <protection/>
    </xf>
    <xf numFmtId="164" fontId="21" fillId="0" borderId="5" xfId="19" applyNumberFormat="1" applyFont="1" applyFill="1" applyBorder="1">
      <alignment/>
      <protection/>
    </xf>
    <xf numFmtId="1" fontId="21" fillId="0" borderId="29" xfId="19" applyNumberFormat="1" applyFont="1" applyFill="1" applyBorder="1">
      <alignment/>
      <protection/>
    </xf>
    <xf numFmtId="0" fontId="27" fillId="0" borderId="6" xfId="19" applyFont="1" applyFill="1" applyBorder="1">
      <alignment/>
      <protection/>
    </xf>
    <xf numFmtId="0" fontId="27" fillId="0" borderId="1" xfId="0" applyFont="1" applyBorder="1" applyAlignment="1">
      <alignment/>
    </xf>
    <xf numFmtId="1" fontId="27" fillId="0" borderId="20" xfId="0" applyNumberFormat="1" applyFont="1" applyBorder="1" applyAlignment="1">
      <alignment horizontal="center" wrapText="1"/>
    </xf>
    <xf numFmtId="0" fontId="27" fillId="0" borderId="20" xfId="0" applyFont="1" applyBorder="1" applyAlignment="1">
      <alignment horizontal="center" wrapText="1"/>
    </xf>
    <xf numFmtId="0" fontId="27" fillId="0" borderId="31" xfId="19" applyFont="1" applyFill="1" applyBorder="1" quotePrefix="1">
      <alignment/>
      <protection/>
    </xf>
    <xf numFmtId="0" fontId="27" fillId="0" borderId="31" xfId="0" applyFont="1" applyBorder="1" applyAlignment="1">
      <alignment/>
    </xf>
    <xf numFmtId="0" fontId="27" fillId="0" borderId="13" xfId="19" applyFont="1" applyFill="1" applyBorder="1">
      <alignment/>
      <protection/>
    </xf>
    <xf numFmtId="164" fontId="27" fillId="0" borderId="13" xfId="19" applyNumberFormat="1" applyFont="1" applyFill="1" applyBorder="1">
      <alignment/>
      <protection/>
    </xf>
    <xf numFmtId="0" fontId="27" fillId="0" borderId="23" xfId="19" applyFont="1" applyFill="1" applyBorder="1">
      <alignment/>
      <protection/>
    </xf>
    <xf numFmtId="164" fontId="27" fillId="0" borderId="24" xfId="19" applyNumberFormat="1" applyFont="1" applyFill="1" applyBorder="1">
      <alignment/>
      <protection/>
    </xf>
    <xf numFmtId="2" fontId="21" fillId="0" borderId="29" xfId="19" applyNumberFormat="1" applyFont="1" applyFill="1" applyBorder="1">
      <alignment/>
      <protection/>
    </xf>
    <xf numFmtId="0" fontId="21" fillId="0" borderId="1" xfId="19" applyFont="1" applyFill="1" applyBorder="1">
      <alignment/>
      <protection/>
    </xf>
    <xf numFmtId="0" fontId="21" fillId="0" borderId="2" xfId="19" applyFont="1" applyFill="1" applyBorder="1">
      <alignment/>
      <protection/>
    </xf>
    <xf numFmtId="1" fontId="21" fillId="0" borderId="9" xfId="19" applyNumberFormat="1" applyFont="1" applyFill="1" applyBorder="1">
      <alignment/>
      <protection/>
    </xf>
    <xf numFmtId="1" fontId="21" fillId="0" borderId="17" xfId="19" applyNumberFormat="1" applyFont="1" applyFill="1" applyBorder="1">
      <alignment/>
      <protection/>
    </xf>
    <xf numFmtId="164" fontId="21" fillId="0" borderId="18" xfId="19" applyNumberFormat="1" applyFont="1" applyFill="1" applyBorder="1">
      <alignment/>
      <protection/>
    </xf>
    <xf numFmtId="0" fontId="21" fillId="0" borderId="30" xfId="19" applyFont="1" applyFill="1" applyBorder="1">
      <alignment/>
      <protection/>
    </xf>
    <xf numFmtId="0" fontId="21" fillId="0" borderId="16" xfId="19" applyFont="1" applyFill="1" applyBorder="1">
      <alignment/>
      <protection/>
    </xf>
    <xf numFmtId="164" fontId="21" fillId="0" borderId="16" xfId="19" applyNumberFormat="1" applyFont="1" applyFill="1" applyBorder="1">
      <alignment/>
      <protection/>
    </xf>
    <xf numFmtId="2" fontId="21" fillId="0" borderId="25" xfId="19" applyNumberFormat="1" applyFont="1" applyFill="1" applyBorder="1">
      <alignment/>
      <protection/>
    </xf>
    <xf numFmtId="2" fontId="21" fillId="0" borderId="7" xfId="19" applyNumberFormat="1" applyFont="1" applyFill="1" applyBorder="1">
      <alignment/>
      <protection/>
    </xf>
    <xf numFmtId="1" fontId="21" fillId="0" borderId="7" xfId="19" applyNumberFormat="1" applyFont="1" applyFill="1" applyBorder="1">
      <alignment/>
      <protection/>
    </xf>
    <xf numFmtId="1" fontId="21" fillId="0" borderId="11" xfId="19" applyNumberFormat="1" applyFont="1" applyFill="1" applyBorder="1">
      <alignment/>
      <protection/>
    </xf>
    <xf numFmtId="1" fontId="21" fillId="0" borderId="2" xfId="19" applyNumberFormat="1" applyFont="1" applyFill="1" applyBorder="1">
      <alignment/>
      <protection/>
    </xf>
    <xf numFmtId="1" fontId="21" fillId="0" borderId="16" xfId="19" applyNumberFormat="1" applyFont="1" applyFill="1" applyBorder="1">
      <alignment/>
      <protection/>
    </xf>
    <xf numFmtId="0" fontId="44" fillId="0" borderId="27" xfId="0" applyFont="1" applyBorder="1" applyAlignment="1">
      <alignment/>
    </xf>
    <xf numFmtId="0" fontId="44" fillId="0" borderId="28" xfId="0" applyFont="1" applyBorder="1" applyAlignment="1">
      <alignment/>
    </xf>
    <xf numFmtId="0" fontId="44" fillId="0" borderId="29" xfId="0" applyFont="1" applyBorder="1" applyAlignment="1">
      <alignment/>
    </xf>
    <xf numFmtId="0" fontId="44" fillId="0" borderId="20" xfId="0" applyFont="1" applyBorder="1" applyAlignment="1">
      <alignment horizontal="center" textRotation="90"/>
    </xf>
    <xf numFmtId="0" fontId="44" fillId="0" borderId="0" xfId="0" applyFont="1" applyAlignment="1">
      <alignment/>
    </xf>
    <xf numFmtId="1" fontId="27" fillId="0" borderId="33" xfId="19" applyNumberFormat="1" applyFont="1" applyFill="1" applyBorder="1">
      <alignment/>
      <protection/>
    </xf>
    <xf numFmtId="164" fontId="21" fillId="0" borderId="0" xfId="19" applyNumberFormat="1" applyFont="1" applyFill="1" applyBorder="1">
      <alignment/>
      <protection/>
    </xf>
    <xf numFmtId="164" fontId="21" fillId="0" borderId="19" xfId="19" applyNumberFormat="1" applyFont="1" applyFill="1" applyBorder="1">
      <alignment/>
      <protection/>
    </xf>
    <xf numFmtId="0" fontId="21" fillId="0" borderId="18" xfId="0" applyFont="1" applyBorder="1" applyAlignment="1">
      <alignment/>
    </xf>
    <xf numFmtId="1" fontId="21" fillId="0" borderId="24" xfId="19" applyNumberFormat="1" applyFont="1" applyFill="1" applyBorder="1">
      <alignment/>
      <protection/>
    </xf>
    <xf numFmtId="0" fontId="22" fillId="0" borderId="21" xfId="0" applyFont="1" applyBorder="1" applyAlignment="1">
      <alignment/>
    </xf>
    <xf numFmtId="1" fontId="27" fillId="0" borderId="34" xfId="19" applyNumberFormat="1" applyFont="1" applyFill="1" applyBorder="1">
      <alignment/>
      <protection/>
    </xf>
    <xf numFmtId="0" fontId="45" fillId="0" borderId="0" xfId="0" applyFont="1" applyAlignment="1">
      <alignment/>
    </xf>
    <xf numFmtId="0" fontId="21" fillId="0" borderId="4" xfId="19" applyFont="1" applyFill="1" applyBorder="1">
      <alignment/>
      <protection/>
    </xf>
    <xf numFmtId="1" fontId="28" fillId="0" borderId="16" xfId="19" applyNumberFormat="1" applyFont="1" applyFill="1" applyBorder="1">
      <alignment/>
      <protection/>
    </xf>
    <xf numFmtId="1" fontId="21" fillId="0" borderId="17" xfId="0" applyNumberFormat="1" applyFont="1" applyBorder="1" applyAlignment="1">
      <alignment/>
    </xf>
    <xf numFmtId="1" fontId="21" fillId="0" borderId="15" xfId="0" applyNumberFormat="1" applyFont="1" applyBorder="1" applyAlignment="1">
      <alignment/>
    </xf>
    <xf numFmtId="1" fontId="21" fillId="0" borderId="14" xfId="0" applyNumberFormat="1" applyFont="1" applyBorder="1" applyAlignment="1">
      <alignment/>
    </xf>
    <xf numFmtId="1" fontId="21" fillId="0" borderId="20" xfId="0" applyNumberFormat="1" applyFont="1" applyBorder="1" applyAlignment="1">
      <alignment/>
    </xf>
    <xf numFmtId="1" fontId="28" fillId="0" borderId="2" xfId="19" applyNumberFormat="1" applyFont="1" applyFill="1" applyBorder="1">
      <alignment/>
      <protection/>
    </xf>
    <xf numFmtId="1" fontId="21" fillId="0" borderId="33" xfId="0" applyNumberFormat="1" applyFont="1" applyBorder="1" applyAlignment="1">
      <alignment/>
    </xf>
    <xf numFmtId="2" fontId="21" fillId="0" borderId="7" xfId="0" applyNumberFormat="1" applyFont="1" applyBorder="1" applyAlignment="1">
      <alignment/>
    </xf>
    <xf numFmtId="2" fontId="21" fillId="0" borderId="24" xfId="19" applyNumberFormat="1" applyFont="1" applyFill="1" applyBorder="1">
      <alignment/>
      <protection/>
    </xf>
    <xf numFmtId="0" fontId="27" fillId="0" borderId="22" xfId="19" applyFont="1" applyFill="1" applyBorder="1">
      <alignment/>
      <protection/>
    </xf>
    <xf numFmtId="1" fontId="21" fillId="0" borderId="0" xfId="0" applyNumberFormat="1" applyFont="1" applyAlignment="1">
      <alignment/>
    </xf>
    <xf numFmtId="0" fontId="27" fillId="0" borderId="14" xfId="19" applyFont="1" applyFill="1" applyBorder="1" applyAlignment="1">
      <alignment horizontal="right"/>
      <protection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46" fillId="0" borderId="0" xfId="0" applyFont="1" applyAlignment="1">
      <alignment/>
    </xf>
    <xf numFmtId="1" fontId="22" fillId="0" borderId="0" xfId="0" applyNumberFormat="1" applyFont="1" applyAlignment="1">
      <alignment/>
    </xf>
    <xf numFmtId="1" fontId="14" fillId="0" borderId="4" xfId="0" applyNumberFormat="1" applyFont="1" applyBorder="1" applyAlignment="1">
      <alignment/>
    </xf>
    <xf numFmtId="1" fontId="14" fillId="0" borderId="8" xfId="0" applyNumberFormat="1" applyFont="1" applyBorder="1" applyAlignment="1">
      <alignment/>
    </xf>
    <xf numFmtId="1" fontId="12" fillId="0" borderId="14" xfId="0" applyNumberFormat="1" applyFont="1" applyBorder="1" applyAlignment="1">
      <alignment/>
    </xf>
    <xf numFmtId="1" fontId="12" fillId="0" borderId="15" xfId="0" applyNumberFormat="1" applyFont="1" applyBorder="1" applyAlignment="1">
      <alignment/>
    </xf>
    <xf numFmtId="1" fontId="14" fillId="0" borderId="16" xfId="0" applyNumberFormat="1" applyFont="1" applyBorder="1" applyAlignment="1">
      <alignment/>
    </xf>
    <xf numFmtId="1" fontId="13" fillId="3" borderId="35" xfId="19" applyNumberFormat="1" applyFont="1" applyFill="1" applyBorder="1">
      <alignment/>
      <protection/>
    </xf>
    <xf numFmtId="165" fontId="13" fillId="3" borderId="35" xfId="19" applyNumberFormat="1" applyFont="1" applyFill="1" applyBorder="1">
      <alignment/>
      <protection/>
    </xf>
    <xf numFmtId="2" fontId="13" fillId="3" borderId="35" xfId="19" applyNumberFormat="1" applyFont="1" applyFill="1" applyBorder="1">
      <alignment/>
      <protection/>
    </xf>
    <xf numFmtId="0" fontId="27" fillId="0" borderId="1" xfId="19" applyFont="1" applyFill="1" applyBorder="1" applyAlignment="1">
      <alignment horizontal="left"/>
      <protection/>
    </xf>
    <xf numFmtId="165" fontId="27" fillId="0" borderId="16" xfId="19" applyNumberFormat="1" applyFont="1" applyFill="1" applyBorder="1">
      <alignment/>
      <protection/>
    </xf>
    <xf numFmtId="2" fontId="27" fillId="0" borderId="9" xfId="19" applyNumberFormat="1" applyFont="1" applyFill="1" applyBorder="1">
      <alignment/>
      <protection/>
    </xf>
    <xf numFmtId="0" fontId="21" fillId="0" borderId="3" xfId="19" applyFont="1" applyFill="1" applyBorder="1" applyAlignment="1">
      <alignment horizontal="left"/>
      <protection/>
    </xf>
    <xf numFmtId="165" fontId="21" fillId="0" borderId="15" xfId="19" applyNumberFormat="1" applyFont="1" applyFill="1" applyBorder="1">
      <alignment/>
      <protection/>
    </xf>
    <xf numFmtId="2" fontId="21" fillId="0" borderId="13" xfId="19" applyNumberFormat="1" applyFont="1" applyFill="1" applyBorder="1">
      <alignment/>
      <protection/>
    </xf>
    <xf numFmtId="0" fontId="21" fillId="0" borderId="1" xfId="19" applyFont="1" applyFill="1" applyBorder="1" applyAlignment="1">
      <alignment horizontal="left"/>
      <protection/>
    </xf>
    <xf numFmtId="165" fontId="21" fillId="0" borderId="16" xfId="19" applyNumberFormat="1" applyFont="1" applyFill="1" applyBorder="1">
      <alignment/>
      <protection/>
    </xf>
    <xf numFmtId="0" fontId="21" fillId="0" borderId="7" xfId="0" applyFont="1" applyBorder="1" applyAlignment="1">
      <alignment/>
    </xf>
    <xf numFmtId="0" fontId="21" fillId="0" borderId="36" xfId="19" applyFont="1" applyFill="1" applyBorder="1" applyAlignment="1">
      <alignment horizontal="left"/>
      <protection/>
    </xf>
    <xf numFmtId="165" fontId="21" fillId="0" borderId="14" xfId="19" applyNumberFormat="1" applyFont="1" applyFill="1" applyBorder="1">
      <alignment/>
      <protection/>
    </xf>
    <xf numFmtId="2" fontId="21" fillId="0" borderId="19" xfId="19" applyNumberFormat="1" applyFont="1" applyFill="1" applyBorder="1">
      <alignment/>
      <protection/>
    </xf>
    <xf numFmtId="2" fontId="21" fillId="0" borderId="12" xfId="19" applyNumberFormat="1" applyFont="1" applyFill="1" applyBorder="1">
      <alignment/>
      <protection/>
    </xf>
    <xf numFmtId="165" fontId="21" fillId="0" borderId="35" xfId="19" applyNumberFormat="1" applyFont="1" applyFill="1" applyBorder="1">
      <alignment/>
      <protection/>
    </xf>
    <xf numFmtId="165" fontId="27" fillId="0" borderId="14" xfId="19" applyNumberFormat="1" applyFont="1" applyFill="1" applyBorder="1">
      <alignment/>
      <protection/>
    </xf>
    <xf numFmtId="49" fontId="21" fillId="0" borderId="0" xfId="19" applyNumberFormat="1" applyFont="1" applyFill="1" applyBorder="1" applyAlignment="1">
      <alignment horizontal="right"/>
      <protection/>
    </xf>
    <xf numFmtId="0" fontId="21" fillId="0" borderId="5" xfId="19" applyFont="1" applyBorder="1">
      <alignment/>
      <protection/>
    </xf>
    <xf numFmtId="0" fontId="47" fillId="0" borderId="0" xfId="0" applyFont="1" applyAlignment="1">
      <alignment/>
    </xf>
    <xf numFmtId="0" fontId="27" fillId="0" borderId="0" xfId="0" applyFont="1" applyAlignment="1">
      <alignment horizontal="center"/>
    </xf>
    <xf numFmtId="0" fontId="21" fillId="0" borderId="0" xfId="19" applyFont="1" applyFill="1" applyBorder="1" applyAlignment="1">
      <alignment horizontal="left"/>
      <protection/>
    </xf>
    <xf numFmtId="0" fontId="47" fillId="0" borderId="0" xfId="19" applyFont="1" applyFill="1" applyBorder="1">
      <alignment/>
      <protection/>
    </xf>
    <xf numFmtId="164" fontId="47" fillId="0" borderId="0" xfId="19" applyNumberFormat="1" applyFont="1" applyFill="1" applyBorder="1" applyAlignment="1">
      <alignment horizontal="right"/>
      <protection/>
    </xf>
    <xf numFmtId="0" fontId="21" fillId="0" borderId="14" xfId="19" applyFont="1" applyFill="1" applyBorder="1" applyAlignment="1">
      <alignment horizontal="left"/>
      <protection/>
    </xf>
    <xf numFmtId="3" fontId="27" fillId="0" borderId="14" xfId="19" applyNumberFormat="1" applyFont="1" applyFill="1" applyBorder="1" applyAlignment="1">
      <alignment horizontal="center"/>
      <protection/>
    </xf>
    <xf numFmtId="164" fontId="27" fillId="0" borderId="14" xfId="19" applyNumberFormat="1" applyFont="1" applyFill="1" applyBorder="1" applyAlignment="1">
      <alignment wrapText="1"/>
      <protection/>
    </xf>
    <xf numFmtId="0" fontId="27" fillId="0" borderId="3" xfId="19" applyFont="1" applyFill="1" applyBorder="1" applyAlignment="1">
      <alignment horizontal="left"/>
      <protection/>
    </xf>
    <xf numFmtId="0" fontId="22" fillId="0" borderId="0" xfId="19" applyFont="1" applyFill="1" applyBorder="1">
      <alignment/>
      <protection/>
    </xf>
    <xf numFmtId="0" fontId="27" fillId="0" borderId="36" xfId="19" applyFont="1" applyFill="1" applyBorder="1" applyAlignment="1">
      <alignment horizontal="left"/>
      <protection/>
    </xf>
    <xf numFmtId="2" fontId="27" fillId="0" borderId="19" xfId="19" applyNumberFormat="1" applyFont="1" applyFill="1" applyBorder="1">
      <alignment/>
      <protection/>
    </xf>
    <xf numFmtId="165" fontId="27" fillId="0" borderId="35" xfId="19" applyNumberFormat="1" applyFont="1" applyFill="1" applyBorder="1">
      <alignment/>
      <protection/>
    </xf>
    <xf numFmtId="0" fontId="13" fillId="0" borderId="3" xfId="19" applyFont="1" applyFill="1" applyBorder="1" applyAlignment="1">
      <alignment horizontal="left"/>
      <protection/>
    </xf>
    <xf numFmtId="0" fontId="13" fillId="0" borderId="0" xfId="19" applyFont="1" applyFill="1" applyBorder="1">
      <alignment/>
      <protection/>
    </xf>
    <xf numFmtId="0" fontId="13" fillId="0" borderId="5" xfId="19" applyFont="1" applyFill="1" applyBorder="1">
      <alignment/>
      <protection/>
    </xf>
    <xf numFmtId="0" fontId="21" fillId="0" borderId="5" xfId="0" applyFont="1" applyBorder="1" applyAlignment="1">
      <alignment/>
    </xf>
    <xf numFmtId="165" fontId="21" fillId="0" borderId="14" xfId="0" applyNumberFormat="1" applyFont="1" applyBorder="1" applyAlignment="1">
      <alignment/>
    </xf>
    <xf numFmtId="0" fontId="21" fillId="0" borderId="24" xfId="0" applyFont="1" applyBorder="1" applyAlignment="1">
      <alignment/>
    </xf>
    <xf numFmtId="0" fontId="27" fillId="0" borderId="6" xfId="19" applyFont="1" applyFill="1" applyBorder="1" applyAlignment="1">
      <alignment horizontal="left"/>
      <protection/>
    </xf>
    <xf numFmtId="165" fontId="27" fillId="0" borderId="37" xfId="19" applyNumberFormat="1" applyFont="1" applyFill="1" applyBorder="1">
      <alignment/>
      <protection/>
    </xf>
    <xf numFmtId="0" fontId="21" fillId="0" borderId="38" xfId="19" applyFont="1" applyFill="1" applyBorder="1" applyAlignment="1">
      <alignment horizontal="left"/>
      <protection/>
    </xf>
    <xf numFmtId="0" fontId="21" fillId="0" borderId="24" xfId="19" applyFont="1" applyFill="1" applyBorder="1">
      <alignment/>
      <protection/>
    </xf>
    <xf numFmtId="165" fontId="21" fillId="0" borderId="20" xfId="19" applyNumberFormat="1" applyFont="1" applyFill="1" applyBorder="1">
      <alignment/>
      <protection/>
    </xf>
    <xf numFmtId="2" fontId="21" fillId="0" borderId="27" xfId="19" applyNumberFormat="1" applyFont="1" applyFill="1" applyBorder="1">
      <alignment/>
      <protection/>
    </xf>
    <xf numFmtId="2" fontId="27" fillId="0" borderId="25" xfId="19" applyNumberFormat="1" applyFont="1" applyFill="1" applyBorder="1">
      <alignment/>
      <protection/>
    </xf>
    <xf numFmtId="0" fontId="21" fillId="0" borderId="22" xfId="0" applyFont="1" applyBorder="1" applyAlignment="1">
      <alignment/>
    </xf>
    <xf numFmtId="0" fontId="13" fillId="0" borderId="0" xfId="19" applyFont="1" applyFill="1" applyBorder="1" applyAlignment="1">
      <alignment horizontal="left"/>
      <protection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9" fontId="27" fillId="0" borderId="0" xfId="20" applyNumberFormat="1" applyFont="1" applyAlignment="1">
      <alignment/>
    </xf>
    <xf numFmtId="1" fontId="27" fillId="0" borderId="33" xfId="0" applyNumberFormat="1" applyFont="1" applyBorder="1" applyAlignment="1">
      <alignment/>
    </xf>
    <xf numFmtId="1" fontId="14" fillId="0" borderId="4" xfId="0" applyNumberFormat="1" applyFont="1" applyBorder="1" applyAlignment="1">
      <alignment/>
    </xf>
    <xf numFmtId="0" fontId="47" fillId="0" borderId="0" xfId="0" applyFont="1" applyAlignment="1">
      <alignment horizontal="right"/>
    </xf>
    <xf numFmtId="9" fontId="12" fillId="0" borderId="0" xfId="2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5" fillId="0" borderId="1" xfId="19" applyFont="1" applyFill="1" applyBorder="1" applyAlignment="1">
      <alignment horizontal="left"/>
      <protection/>
    </xf>
    <xf numFmtId="0" fontId="15" fillId="0" borderId="2" xfId="19" applyFont="1" applyFill="1" applyBorder="1">
      <alignment/>
      <protection/>
    </xf>
    <xf numFmtId="0" fontId="15" fillId="0" borderId="4" xfId="19" applyFont="1" applyFill="1" applyBorder="1">
      <alignment/>
      <protection/>
    </xf>
    <xf numFmtId="1" fontId="12" fillId="0" borderId="0" xfId="0" applyNumberFormat="1" applyFont="1" applyAlignment="1">
      <alignment/>
    </xf>
    <xf numFmtId="0" fontId="14" fillId="0" borderId="2" xfId="0" applyFont="1" applyBorder="1" applyAlignment="1">
      <alignment/>
    </xf>
    <xf numFmtId="0" fontId="14" fillId="0" borderId="4" xfId="0" applyFont="1" applyBorder="1" applyAlignment="1">
      <alignment/>
    </xf>
    <xf numFmtId="9" fontId="14" fillId="0" borderId="0" xfId="20" applyFont="1" applyAlignment="1">
      <alignment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165" fontId="12" fillId="0" borderId="15" xfId="0" applyNumberFormat="1" applyFont="1" applyBorder="1" applyAlignment="1">
      <alignment/>
    </xf>
    <xf numFmtId="2" fontId="15" fillId="0" borderId="15" xfId="19" applyNumberFormat="1" applyFont="1" applyFill="1" applyBorder="1">
      <alignment/>
      <protection/>
    </xf>
    <xf numFmtId="9" fontId="12" fillId="0" borderId="0" xfId="20" applyFont="1" applyAlignment="1">
      <alignment/>
    </xf>
    <xf numFmtId="1" fontId="12" fillId="0" borderId="0" xfId="0" applyNumberFormat="1" applyFont="1" applyAlignment="1">
      <alignment/>
    </xf>
    <xf numFmtId="165" fontId="12" fillId="0" borderId="14" xfId="0" applyNumberFormat="1" applyFont="1" applyBorder="1" applyAlignment="1">
      <alignment/>
    </xf>
    <xf numFmtId="2" fontId="15" fillId="0" borderId="14" xfId="19" applyNumberFormat="1" applyFont="1" applyFill="1" applyBorder="1">
      <alignment/>
      <protection/>
    </xf>
    <xf numFmtId="165" fontId="12" fillId="2" borderId="14" xfId="0" applyNumberFormat="1" applyFont="1" applyFill="1" applyBorder="1" applyAlignment="1">
      <alignment/>
    </xf>
    <xf numFmtId="2" fontId="15" fillId="2" borderId="14" xfId="19" applyNumberFormat="1" applyFont="1" applyFill="1" applyBorder="1">
      <alignment/>
      <protection/>
    </xf>
    <xf numFmtId="0" fontId="13" fillId="0" borderId="6" xfId="19" applyFont="1" applyFill="1" applyBorder="1" applyAlignment="1">
      <alignment horizontal="left"/>
      <protection/>
    </xf>
    <xf numFmtId="0" fontId="13" fillId="0" borderId="7" xfId="19" applyFont="1" applyFill="1" applyBorder="1">
      <alignment/>
      <protection/>
    </xf>
    <xf numFmtId="0" fontId="13" fillId="0" borderId="8" xfId="19" applyFont="1" applyFill="1" applyBorder="1">
      <alignment/>
      <protection/>
    </xf>
    <xf numFmtId="165" fontId="14" fillId="0" borderId="8" xfId="0" applyNumberFormat="1" applyFont="1" applyBorder="1" applyAlignment="1">
      <alignment/>
    </xf>
    <xf numFmtId="2" fontId="14" fillId="0" borderId="8" xfId="0" applyNumberFormat="1" applyFont="1" applyBorder="1" applyAlignment="1">
      <alignment/>
    </xf>
    <xf numFmtId="9" fontId="14" fillId="0" borderId="0" xfId="20" applyFont="1" applyAlignment="1">
      <alignment/>
    </xf>
    <xf numFmtId="0" fontId="12" fillId="0" borderId="5" xfId="0" applyFont="1" applyBorder="1" applyAlignment="1">
      <alignment/>
    </xf>
    <xf numFmtId="2" fontId="12" fillId="0" borderId="10" xfId="0" applyNumberFormat="1" applyFont="1" applyBorder="1" applyAlignment="1">
      <alignment/>
    </xf>
    <xf numFmtId="166" fontId="12" fillId="0" borderId="5" xfId="0" applyNumberFormat="1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4" xfId="0" applyFont="1" applyBorder="1" applyAlignment="1">
      <alignment/>
    </xf>
    <xf numFmtId="0" fontId="13" fillId="0" borderId="6" xfId="19" applyFont="1" applyFill="1" applyBorder="1" applyAlignment="1">
      <alignment horizontal="left"/>
      <protection/>
    </xf>
    <xf numFmtId="0" fontId="13" fillId="0" borderId="7" xfId="19" applyFont="1" applyFill="1" applyBorder="1">
      <alignment/>
      <protection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165" fontId="12" fillId="0" borderId="8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165" fontId="12" fillId="0" borderId="0" xfId="0" applyNumberFormat="1" applyFont="1" applyAlignment="1">
      <alignment/>
    </xf>
    <xf numFmtId="165" fontId="14" fillId="0" borderId="4" xfId="0" applyNumberFormat="1" applyFont="1" applyBorder="1" applyAlignment="1">
      <alignment/>
    </xf>
    <xf numFmtId="2" fontId="14" fillId="0" borderId="4" xfId="0" applyNumberFormat="1" applyFont="1" applyBorder="1" applyAlignment="1">
      <alignment/>
    </xf>
    <xf numFmtId="9" fontId="14" fillId="0" borderId="0" xfId="20" applyNumberFormat="1" applyFont="1" applyAlignment="1">
      <alignment/>
    </xf>
    <xf numFmtId="165" fontId="12" fillId="0" borderId="0" xfId="0" applyNumberFormat="1" applyFont="1" applyAlignment="1">
      <alignment/>
    </xf>
    <xf numFmtId="166" fontId="12" fillId="0" borderId="8" xfId="0" applyNumberFormat="1" applyFont="1" applyBorder="1" applyAlignment="1">
      <alignment/>
    </xf>
    <xf numFmtId="0" fontId="48" fillId="0" borderId="1" xfId="19" applyFont="1" applyFill="1" applyBorder="1" applyAlignment="1">
      <alignment horizontal="left"/>
      <protection/>
    </xf>
    <xf numFmtId="0" fontId="49" fillId="0" borderId="2" xfId="19" applyFont="1" applyFill="1" applyBorder="1">
      <alignment/>
      <protection/>
    </xf>
    <xf numFmtId="0" fontId="50" fillId="0" borderId="2" xfId="0" applyFont="1" applyBorder="1" applyAlignment="1">
      <alignment/>
    </xf>
    <xf numFmtId="165" fontId="50" fillId="0" borderId="33" xfId="0" applyNumberFormat="1" applyFont="1" applyBorder="1" applyAlignment="1">
      <alignment/>
    </xf>
    <xf numFmtId="2" fontId="50" fillId="0" borderId="0" xfId="0" applyNumberFormat="1" applyFont="1" applyBorder="1" applyAlignment="1">
      <alignment/>
    </xf>
    <xf numFmtId="166" fontId="50" fillId="0" borderId="33" xfId="0" applyNumberFormat="1" applyFont="1" applyBorder="1" applyAlignment="1">
      <alignment/>
    </xf>
    <xf numFmtId="0" fontId="50" fillId="0" borderId="0" xfId="0" applyFont="1" applyAlignment="1">
      <alignment/>
    </xf>
    <xf numFmtId="0" fontId="13" fillId="0" borderId="1" xfId="19" applyFont="1" applyFill="1" applyBorder="1" applyAlignment="1">
      <alignment horizontal="left"/>
      <protection/>
    </xf>
    <xf numFmtId="0" fontId="13" fillId="0" borderId="2" xfId="19" applyFont="1" applyFill="1" applyBorder="1">
      <alignment/>
      <protection/>
    </xf>
    <xf numFmtId="0" fontId="13" fillId="0" borderId="4" xfId="19" applyFont="1" applyFill="1" applyBorder="1">
      <alignment/>
      <protection/>
    </xf>
    <xf numFmtId="165" fontId="13" fillId="0" borderId="9" xfId="19" applyNumberFormat="1" applyFont="1" applyFill="1" applyBorder="1">
      <alignment/>
      <protection/>
    </xf>
    <xf numFmtId="166" fontId="13" fillId="0" borderId="9" xfId="19" applyNumberFormat="1" applyFont="1" applyFill="1" applyBorder="1">
      <alignment/>
      <protection/>
    </xf>
    <xf numFmtId="0" fontId="13" fillId="0" borderId="1" xfId="19" applyFont="1" applyFill="1" applyBorder="1" applyAlignment="1">
      <alignment horizontal="left"/>
      <protection/>
    </xf>
    <xf numFmtId="0" fontId="13" fillId="0" borderId="2" xfId="19" applyFont="1" applyFill="1" applyBorder="1">
      <alignment/>
      <protection/>
    </xf>
    <xf numFmtId="0" fontId="13" fillId="0" borderId="4" xfId="19" applyFont="1" applyFill="1" applyBorder="1">
      <alignment/>
      <protection/>
    </xf>
    <xf numFmtId="0" fontId="13" fillId="0" borderId="3" xfId="19" applyFont="1" applyFill="1" applyBorder="1" applyAlignment="1">
      <alignment horizontal="left"/>
      <protection/>
    </xf>
    <xf numFmtId="0" fontId="13" fillId="0" borderId="0" xfId="19" applyFont="1" applyFill="1" applyBorder="1">
      <alignment/>
      <protection/>
    </xf>
    <xf numFmtId="0" fontId="13" fillId="0" borderId="5" xfId="19" applyFont="1" applyFill="1" applyBorder="1">
      <alignment/>
      <protection/>
    </xf>
    <xf numFmtId="0" fontId="13" fillId="0" borderId="0" xfId="19" applyFont="1" applyFill="1" applyBorder="1" applyAlignment="1">
      <alignment horizontal="left"/>
      <protection/>
    </xf>
    <xf numFmtId="0" fontId="15" fillId="0" borderId="19" xfId="19" applyFont="1" applyFill="1" applyBorder="1">
      <alignment/>
      <protection/>
    </xf>
    <xf numFmtId="0" fontId="12" fillId="0" borderId="18" xfId="0" applyFont="1" applyBorder="1" applyAlignment="1">
      <alignment/>
    </xf>
    <xf numFmtId="165" fontId="12" fillId="0" borderId="13" xfId="0" applyNumberFormat="1" applyFont="1" applyBorder="1" applyAlignment="1">
      <alignment/>
    </xf>
    <xf numFmtId="2" fontId="12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9" fontId="33" fillId="0" borderId="0" xfId="20" applyFont="1" applyAlignment="1">
      <alignment/>
    </xf>
    <xf numFmtId="0" fontId="51" fillId="0" borderId="0" xfId="0" applyFont="1" applyAlignment="1">
      <alignment/>
    </xf>
    <xf numFmtId="0" fontId="37" fillId="0" borderId="0" xfId="0" applyFont="1" applyAlignment="1">
      <alignment horizontal="center"/>
    </xf>
    <xf numFmtId="9" fontId="32" fillId="0" borderId="0" xfId="20" applyFont="1" applyAlignment="1">
      <alignment/>
    </xf>
    <xf numFmtId="0" fontId="32" fillId="0" borderId="0" xfId="19" applyFont="1" applyFill="1" applyBorder="1" applyAlignment="1">
      <alignment horizontal="left"/>
      <protection/>
    </xf>
    <xf numFmtId="0" fontId="32" fillId="0" borderId="0" xfId="19" applyFont="1" applyFill="1" applyBorder="1">
      <alignment/>
      <protection/>
    </xf>
    <xf numFmtId="0" fontId="33" fillId="0" borderId="0" xfId="19" applyFont="1" applyFill="1" applyBorder="1">
      <alignment/>
      <protection/>
    </xf>
    <xf numFmtId="164" fontId="33" fillId="0" borderId="0" xfId="19" applyNumberFormat="1" applyFont="1" applyFill="1" applyBorder="1" applyAlignment="1">
      <alignment horizontal="right"/>
      <protection/>
    </xf>
    <xf numFmtId="0" fontId="32" fillId="0" borderId="14" xfId="19" applyFont="1" applyFill="1" applyBorder="1" applyAlignment="1">
      <alignment horizontal="left"/>
      <protection/>
    </xf>
    <xf numFmtId="0" fontId="32" fillId="0" borderId="19" xfId="19" applyFont="1" applyFill="1" applyBorder="1">
      <alignment/>
      <protection/>
    </xf>
    <xf numFmtId="0" fontId="32" fillId="0" borderId="21" xfId="19" applyFont="1" applyFill="1" applyBorder="1">
      <alignment/>
      <protection/>
    </xf>
    <xf numFmtId="0" fontId="32" fillId="0" borderId="18" xfId="19" applyFont="1" applyFill="1" applyBorder="1">
      <alignment/>
      <protection/>
    </xf>
    <xf numFmtId="3" fontId="37" fillId="0" borderId="14" xfId="19" applyNumberFormat="1" applyFont="1" applyFill="1" applyBorder="1" applyAlignment="1">
      <alignment horizontal="center"/>
      <protection/>
    </xf>
    <xf numFmtId="0" fontId="37" fillId="0" borderId="3" xfId="19" applyFont="1" applyFill="1" applyBorder="1" applyAlignment="1">
      <alignment horizontal="left"/>
      <protection/>
    </xf>
    <xf numFmtId="0" fontId="52" fillId="0" borderId="0" xfId="19" applyFont="1" applyFill="1" applyBorder="1">
      <alignment/>
      <protection/>
    </xf>
    <xf numFmtId="0" fontId="37" fillId="0" borderId="0" xfId="19" applyFont="1" applyFill="1" applyBorder="1">
      <alignment/>
      <protection/>
    </xf>
    <xf numFmtId="1" fontId="37" fillId="0" borderId="14" xfId="19" applyNumberFormat="1" applyFont="1" applyFill="1" applyBorder="1">
      <alignment/>
      <protection/>
    </xf>
    <xf numFmtId="9" fontId="37" fillId="0" borderId="0" xfId="20" applyNumberFormat="1" applyFont="1" applyAlignment="1">
      <alignment/>
    </xf>
    <xf numFmtId="0" fontId="37" fillId="0" borderId="36" xfId="19" applyFont="1" applyFill="1" applyBorder="1" applyAlignment="1">
      <alignment horizontal="left"/>
      <protection/>
    </xf>
    <xf numFmtId="0" fontId="37" fillId="0" borderId="21" xfId="19" applyFont="1" applyFill="1" applyBorder="1">
      <alignment/>
      <protection/>
    </xf>
    <xf numFmtId="165" fontId="37" fillId="0" borderId="14" xfId="19" applyNumberFormat="1" applyFont="1" applyFill="1" applyBorder="1">
      <alignment/>
      <protection/>
    </xf>
    <xf numFmtId="9" fontId="37" fillId="0" borderId="0" xfId="20" applyFont="1" applyAlignment="1">
      <alignment/>
    </xf>
    <xf numFmtId="0" fontId="32" fillId="0" borderId="3" xfId="19" applyFont="1" applyFill="1" applyBorder="1" applyAlignment="1">
      <alignment horizontal="left"/>
      <protection/>
    </xf>
    <xf numFmtId="165" fontId="32" fillId="0" borderId="14" xfId="19" applyNumberFormat="1" applyFont="1" applyFill="1" applyBorder="1">
      <alignment/>
      <protection/>
    </xf>
    <xf numFmtId="165" fontId="32" fillId="0" borderId="35" xfId="19" applyNumberFormat="1" applyFont="1" applyFill="1" applyBorder="1">
      <alignment/>
      <protection/>
    </xf>
    <xf numFmtId="1" fontId="32" fillId="0" borderId="15" xfId="19" applyNumberFormat="1" applyFont="1" applyFill="1" applyBorder="1">
      <alignment/>
      <protection/>
    </xf>
    <xf numFmtId="0" fontId="37" fillId="0" borderId="1" xfId="19" applyFont="1" applyFill="1" applyBorder="1" applyAlignment="1">
      <alignment horizontal="left"/>
      <protection/>
    </xf>
    <xf numFmtId="0" fontId="37" fillId="0" borderId="2" xfId="19" applyFont="1" applyFill="1" applyBorder="1">
      <alignment/>
      <protection/>
    </xf>
    <xf numFmtId="0" fontId="37" fillId="0" borderId="4" xfId="19" applyFont="1" applyFill="1" applyBorder="1">
      <alignment/>
      <protection/>
    </xf>
    <xf numFmtId="165" fontId="37" fillId="0" borderId="35" xfId="19" applyNumberFormat="1" applyFont="1" applyFill="1" applyBorder="1">
      <alignment/>
      <protection/>
    </xf>
    <xf numFmtId="165" fontId="32" fillId="0" borderId="15" xfId="19" applyNumberFormat="1" applyFont="1" applyFill="1" applyBorder="1">
      <alignment/>
      <protection/>
    </xf>
    <xf numFmtId="0" fontId="32" fillId="0" borderId="36" xfId="19" applyFont="1" applyFill="1" applyBorder="1" applyAlignment="1">
      <alignment horizontal="left"/>
      <protection/>
    </xf>
    <xf numFmtId="0" fontId="42" fillId="0" borderId="3" xfId="19" applyFont="1" applyFill="1" applyBorder="1" applyAlignment="1">
      <alignment horizontal="left"/>
      <protection/>
    </xf>
    <xf numFmtId="0" fontId="42" fillId="0" borderId="0" xfId="19" applyFont="1" applyFill="1" applyBorder="1">
      <alignment/>
      <protection/>
    </xf>
    <xf numFmtId="0" fontId="42" fillId="0" borderId="5" xfId="19" applyFont="1" applyFill="1" applyBorder="1">
      <alignment/>
      <protection/>
    </xf>
    <xf numFmtId="165" fontId="42" fillId="0" borderId="14" xfId="19" applyNumberFormat="1" applyFont="1" applyFill="1" applyBorder="1">
      <alignment/>
      <protection/>
    </xf>
    <xf numFmtId="0" fontId="32" fillId="0" borderId="5" xfId="19" applyFont="1" applyFill="1" applyBorder="1">
      <alignment/>
      <protection/>
    </xf>
    <xf numFmtId="0" fontId="32" fillId="0" borderId="5" xfId="0" applyFont="1" applyBorder="1" applyAlignment="1">
      <alignment/>
    </xf>
    <xf numFmtId="165" fontId="32" fillId="0" borderId="14" xfId="0" applyNumberFormat="1" applyFont="1" applyBorder="1" applyAlignment="1">
      <alignment/>
    </xf>
    <xf numFmtId="0" fontId="32" fillId="0" borderId="38" xfId="19" applyFont="1" applyFill="1" applyBorder="1" applyAlignment="1">
      <alignment horizontal="left"/>
      <protection/>
    </xf>
    <xf numFmtId="0" fontId="32" fillId="0" borderId="22" xfId="0" applyFont="1" applyBorder="1" applyAlignment="1">
      <alignment/>
    </xf>
    <xf numFmtId="0" fontId="32" fillId="0" borderId="24" xfId="0" applyFont="1" applyBorder="1" applyAlignment="1">
      <alignment/>
    </xf>
    <xf numFmtId="0" fontId="32" fillId="0" borderId="22" xfId="19" applyFont="1" applyFill="1" applyBorder="1">
      <alignment/>
      <protection/>
    </xf>
    <xf numFmtId="0" fontId="32" fillId="0" borderId="24" xfId="19" applyFont="1" applyFill="1" applyBorder="1">
      <alignment/>
      <protection/>
    </xf>
    <xf numFmtId="165" fontId="37" fillId="0" borderId="16" xfId="19" applyNumberFormat="1" applyFont="1" applyFill="1" applyBorder="1">
      <alignment/>
      <protection/>
    </xf>
    <xf numFmtId="49" fontId="32" fillId="0" borderId="0" xfId="19" applyNumberFormat="1" applyFont="1" applyFill="1" applyBorder="1" applyAlignment="1">
      <alignment horizontal="right"/>
      <protection/>
    </xf>
    <xf numFmtId="0" fontId="32" fillId="0" borderId="5" xfId="19" applyFont="1" applyBorder="1">
      <alignment/>
      <protection/>
    </xf>
    <xf numFmtId="165" fontId="32" fillId="0" borderId="20" xfId="19" applyNumberFormat="1" applyFont="1" applyFill="1" applyBorder="1">
      <alignment/>
      <protection/>
    </xf>
    <xf numFmtId="0" fontId="32" fillId="0" borderId="2" xfId="19" applyFont="1" applyFill="1" applyBorder="1">
      <alignment/>
      <protection/>
    </xf>
    <xf numFmtId="0" fontId="32" fillId="0" borderId="1" xfId="19" applyFont="1" applyFill="1" applyBorder="1" applyAlignment="1">
      <alignment horizontal="left"/>
      <protection/>
    </xf>
    <xf numFmtId="0" fontId="32" fillId="0" borderId="7" xfId="0" applyFont="1" applyBorder="1" applyAlignment="1">
      <alignment/>
    </xf>
    <xf numFmtId="165" fontId="32" fillId="0" borderId="16" xfId="19" applyNumberFormat="1" applyFont="1" applyFill="1" applyBorder="1">
      <alignment/>
      <protection/>
    </xf>
    <xf numFmtId="0" fontId="37" fillId="0" borderId="6" xfId="19" applyFont="1" applyFill="1" applyBorder="1" applyAlignment="1">
      <alignment horizontal="left"/>
      <protection/>
    </xf>
    <xf numFmtId="0" fontId="37" fillId="0" borderId="7" xfId="19" applyFont="1" applyFill="1" applyBorder="1">
      <alignment/>
      <protection/>
    </xf>
    <xf numFmtId="165" fontId="37" fillId="0" borderId="37" xfId="19" applyNumberFormat="1" applyFont="1" applyFill="1" applyBorder="1">
      <alignment/>
      <protection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33" fillId="0" borderId="0" xfId="0" applyFont="1" applyAlignment="1">
      <alignment horizontal="right"/>
    </xf>
    <xf numFmtId="9" fontId="53" fillId="0" borderId="0" xfId="20" applyFont="1" applyAlignment="1">
      <alignment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right"/>
    </xf>
    <xf numFmtId="0" fontId="35" fillId="0" borderId="1" xfId="19" applyFont="1" applyFill="1" applyBorder="1" applyAlignment="1">
      <alignment horizontal="left"/>
      <protection/>
    </xf>
    <xf numFmtId="0" fontId="35" fillId="0" borderId="2" xfId="19" applyFont="1" applyFill="1" applyBorder="1">
      <alignment/>
      <protection/>
    </xf>
    <xf numFmtId="0" fontId="35" fillId="0" borderId="4" xfId="19" applyFont="1" applyFill="1" applyBorder="1">
      <alignment/>
      <protection/>
    </xf>
    <xf numFmtId="1" fontId="35" fillId="0" borderId="9" xfId="19" applyNumberFormat="1" applyFont="1" applyFill="1" applyBorder="1">
      <alignment/>
      <protection/>
    </xf>
    <xf numFmtId="9" fontId="55" fillId="0" borderId="0" xfId="20" applyNumberFormat="1" applyFont="1" applyAlignment="1">
      <alignment/>
    </xf>
    <xf numFmtId="0" fontId="55" fillId="0" borderId="2" xfId="0" applyFont="1" applyBorder="1" applyAlignment="1">
      <alignment/>
    </xf>
    <xf numFmtId="0" fontId="55" fillId="0" borderId="4" xfId="0" applyFont="1" applyBorder="1" applyAlignment="1">
      <alignment/>
    </xf>
    <xf numFmtId="1" fontId="55" fillId="0" borderId="16" xfId="0" applyNumberFormat="1" applyFont="1" applyBorder="1" applyAlignment="1">
      <alignment/>
    </xf>
    <xf numFmtId="1" fontId="55" fillId="0" borderId="4" xfId="0" applyNumberFormat="1" applyFont="1" applyBorder="1" applyAlignment="1">
      <alignment/>
    </xf>
    <xf numFmtId="9" fontId="55" fillId="0" borderId="0" xfId="20" applyFont="1" applyAlignment="1">
      <alignment/>
    </xf>
    <xf numFmtId="0" fontId="55" fillId="0" borderId="0" xfId="0" applyFont="1" applyAlignment="1">
      <alignment/>
    </xf>
    <xf numFmtId="0" fontId="53" fillId="0" borderId="0" xfId="0" applyFont="1" applyBorder="1" applyAlignment="1">
      <alignment/>
    </xf>
    <xf numFmtId="1" fontId="53" fillId="0" borderId="15" xfId="0" applyNumberFormat="1" applyFont="1" applyBorder="1" applyAlignment="1">
      <alignment/>
    </xf>
    <xf numFmtId="165" fontId="53" fillId="0" borderId="15" xfId="0" applyNumberFormat="1" applyFont="1" applyBorder="1" applyAlignment="1">
      <alignment/>
    </xf>
    <xf numFmtId="2" fontId="35" fillId="0" borderId="15" xfId="19" applyNumberFormat="1" applyFont="1" applyFill="1" applyBorder="1">
      <alignment/>
      <protection/>
    </xf>
    <xf numFmtId="9" fontId="53" fillId="0" borderId="0" xfId="20" applyFont="1" applyAlignment="1">
      <alignment/>
    </xf>
    <xf numFmtId="1" fontId="53" fillId="0" borderId="14" xfId="0" applyNumberFormat="1" applyFont="1" applyBorder="1" applyAlignment="1">
      <alignment/>
    </xf>
    <xf numFmtId="165" fontId="53" fillId="0" borderId="14" xfId="0" applyNumberFormat="1" applyFont="1" applyBorder="1" applyAlignment="1">
      <alignment/>
    </xf>
    <xf numFmtId="2" fontId="35" fillId="0" borderId="14" xfId="19" applyNumberFormat="1" applyFont="1" applyFill="1" applyBorder="1">
      <alignment/>
      <protection/>
    </xf>
    <xf numFmtId="165" fontId="53" fillId="2" borderId="14" xfId="0" applyNumberFormat="1" applyFont="1" applyFill="1" applyBorder="1" applyAlignment="1">
      <alignment/>
    </xf>
    <xf numFmtId="2" fontId="35" fillId="2" borderId="14" xfId="19" applyNumberFormat="1" applyFont="1" applyFill="1" applyBorder="1">
      <alignment/>
      <protection/>
    </xf>
    <xf numFmtId="0" fontId="42" fillId="0" borderId="0" xfId="19" applyFont="1" applyFill="1" applyBorder="1" applyAlignment="1">
      <alignment horizontal="left"/>
      <protection/>
    </xf>
    <xf numFmtId="0" fontId="42" fillId="0" borderId="6" xfId="19" applyFont="1" applyFill="1" applyBorder="1" applyAlignment="1">
      <alignment horizontal="left"/>
      <protection/>
    </xf>
    <xf numFmtId="0" fontId="42" fillId="0" borderId="7" xfId="19" applyFont="1" applyFill="1" applyBorder="1">
      <alignment/>
      <protection/>
    </xf>
    <xf numFmtId="0" fontId="42" fillId="0" borderId="8" xfId="19" applyFont="1" applyFill="1" applyBorder="1">
      <alignment/>
      <protection/>
    </xf>
    <xf numFmtId="1" fontId="42" fillId="3" borderId="35" xfId="19" applyNumberFormat="1" applyFont="1" applyFill="1" applyBorder="1">
      <alignment/>
      <protection/>
    </xf>
    <xf numFmtId="165" fontId="42" fillId="3" borderId="35" xfId="19" applyNumberFormat="1" applyFont="1" applyFill="1" applyBorder="1">
      <alignment/>
      <protection/>
    </xf>
    <xf numFmtId="2" fontId="42" fillId="3" borderId="35" xfId="19" applyNumberFormat="1" applyFont="1" applyFill="1" applyBorder="1">
      <alignment/>
      <protection/>
    </xf>
    <xf numFmtId="1" fontId="55" fillId="0" borderId="8" xfId="0" applyNumberFormat="1" applyFont="1" applyBorder="1" applyAlignment="1">
      <alignment/>
    </xf>
    <xf numFmtId="165" fontId="55" fillId="0" borderId="8" xfId="0" applyNumberFormat="1" applyFont="1" applyBorder="1" applyAlignment="1">
      <alignment/>
    </xf>
    <xf numFmtId="2" fontId="55" fillId="0" borderId="8" xfId="0" applyNumberFormat="1" applyFont="1" applyBorder="1" applyAlignment="1">
      <alignment/>
    </xf>
    <xf numFmtId="9" fontId="55" fillId="0" borderId="0" xfId="20" applyFont="1" applyAlignment="1">
      <alignment/>
    </xf>
    <xf numFmtId="0" fontId="53" fillId="0" borderId="5" xfId="0" applyFont="1" applyBorder="1" applyAlignment="1">
      <alignment/>
    </xf>
    <xf numFmtId="1" fontId="53" fillId="0" borderId="5" xfId="0" applyNumberFormat="1" applyFont="1" applyBorder="1" applyAlignment="1">
      <alignment/>
    </xf>
    <xf numFmtId="165" fontId="53" fillId="0" borderId="5" xfId="0" applyNumberFormat="1" applyFont="1" applyBorder="1" applyAlignment="1">
      <alignment/>
    </xf>
    <xf numFmtId="2" fontId="53" fillId="0" borderId="10" xfId="0" applyNumberFormat="1" applyFont="1" applyBorder="1" applyAlignment="1">
      <alignment/>
    </xf>
    <xf numFmtId="1" fontId="53" fillId="0" borderId="5" xfId="0" applyNumberFormat="1" applyFont="1" applyBorder="1" applyAlignment="1">
      <alignment/>
    </xf>
    <xf numFmtId="166" fontId="53" fillId="0" borderId="5" xfId="0" applyNumberFormat="1" applyFont="1" applyBorder="1" applyAlignment="1">
      <alignment/>
    </xf>
    <xf numFmtId="0" fontId="53" fillId="0" borderId="2" xfId="0" applyFont="1" applyBorder="1" applyAlignment="1">
      <alignment/>
    </xf>
    <xf numFmtId="0" fontId="53" fillId="0" borderId="4" xfId="0" applyFont="1" applyBorder="1" applyAlignment="1">
      <alignment/>
    </xf>
    <xf numFmtId="1" fontId="53" fillId="0" borderId="4" xfId="0" applyNumberFormat="1" applyFont="1" applyBorder="1" applyAlignment="1">
      <alignment/>
    </xf>
    <xf numFmtId="165" fontId="53" fillId="0" borderId="4" xfId="0" applyNumberFormat="1" applyFont="1" applyBorder="1" applyAlignment="1">
      <alignment/>
    </xf>
    <xf numFmtId="2" fontId="53" fillId="0" borderId="4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6" xfId="19" applyFont="1" applyFill="1" applyBorder="1" applyAlignment="1">
      <alignment horizontal="left"/>
      <protection/>
    </xf>
    <xf numFmtId="0" fontId="42" fillId="0" borderId="7" xfId="19" applyFont="1" applyFill="1" applyBorder="1">
      <alignment/>
      <protection/>
    </xf>
    <xf numFmtId="0" fontId="53" fillId="0" borderId="7" xfId="0" applyFont="1" applyBorder="1" applyAlignment="1">
      <alignment/>
    </xf>
    <xf numFmtId="0" fontId="53" fillId="0" borderId="8" xfId="0" applyFont="1" applyBorder="1" applyAlignment="1">
      <alignment/>
    </xf>
    <xf numFmtId="1" fontId="53" fillId="0" borderId="8" xfId="0" applyNumberFormat="1" applyFont="1" applyBorder="1" applyAlignment="1">
      <alignment/>
    </xf>
    <xf numFmtId="165" fontId="53" fillId="0" borderId="8" xfId="0" applyNumberFormat="1" applyFont="1" applyBorder="1" applyAlignment="1">
      <alignment/>
    </xf>
    <xf numFmtId="2" fontId="53" fillId="0" borderId="11" xfId="0" applyNumberFormat="1" applyFont="1" applyBorder="1" applyAlignment="1">
      <alignment/>
    </xf>
    <xf numFmtId="1" fontId="53" fillId="0" borderId="8" xfId="0" applyNumberFormat="1" applyFont="1" applyBorder="1" applyAlignment="1">
      <alignment/>
    </xf>
    <xf numFmtId="1" fontId="53" fillId="0" borderId="4" xfId="0" applyNumberFormat="1" applyFont="1" applyBorder="1" applyAlignment="1">
      <alignment/>
    </xf>
    <xf numFmtId="165" fontId="53" fillId="0" borderId="5" xfId="0" applyNumberFormat="1" applyFont="1" applyBorder="1" applyAlignment="1">
      <alignment/>
    </xf>
    <xf numFmtId="165" fontId="53" fillId="0" borderId="13" xfId="0" applyNumberFormat="1" applyFont="1" applyBorder="1" applyAlignment="1">
      <alignment/>
    </xf>
    <xf numFmtId="2" fontId="53" fillId="0" borderId="13" xfId="0" applyNumberFormat="1" applyFont="1" applyBorder="1" applyAlignment="1">
      <alignment/>
    </xf>
    <xf numFmtId="1" fontId="55" fillId="0" borderId="4" xfId="0" applyNumberFormat="1" applyFont="1" applyBorder="1" applyAlignment="1">
      <alignment/>
    </xf>
    <xf numFmtId="165" fontId="55" fillId="0" borderId="4" xfId="0" applyNumberFormat="1" applyFont="1" applyBorder="1" applyAlignment="1">
      <alignment/>
    </xf>
    <xf numFmtId="2" fontId="55" fillId="0" borderId="4" xfId="0" applyNumberFormat="1" applyFont="1" applyBorder="1" applyAlignment="1">
      <alignment/>
    </xf>
    <xf numFmtId="166" fontId="53" fillId="0" borderId="8" xfId="0" applyNumberFormat="1" applyFont="1" applyBorder="1" applyAlignment="1">
      <alignment/>
    </xf>
    <xf numFmtId="0" fontId="56" fillId="0" borderId="1" xfId="19" applyFont="1" applyFill="1" applyBorder="1" applyAlignment="1">
      <alignment horizontal="left"/>
      <protection/>
    </xf>
    <xf numFmtId="0" fontId="57" fillId="0" borderId="2" xfId="19" applyFont="1" applyFill="1" applyBorder="1">
      <alignment/>
      <protection/>
    </xf>
    <xf numFmtId="0" fontId="58" fillId="0" borderId="2" xfId="0" applyFont="1" applyBorder="1" applyAlignment="1">
      <alignment/>
    </xf>
    <xf numFmtId="1" fontId="59" fillId="0" borderId="2" xfId="0" applyNumberFormat="1" applyFont="1" applyBorder="1" applyAlignment="1">
      <alignment/>
    </xf>
    <xf numFmtId="165" fontId="58" fillId="0" borderId="33" xfId="0" applyNumberFormat="1" applyFont="1" applyBorder="1" applyAlignment="1">
      <alignment/>
    </xf>
    <xf numFmtId="2" fontId="58" fillId="0" borderId="0" xfId="0" applyNumberFormat="1" applyFont="1" applyBorder="1" applyAlignment="1">
      <alignment/>
    </xf>
    <xf numFmtId="166" fontId="58" fillId="0" borderId="33" xfId="0" applyNumberFormat="1" applyFont="1" applyBorder="1" applyAlignment="1">
      <alignment/>
    </xf>
    <xf numFmtId="0" fontId="58" fillId="0" borderId="0" xfId="0" applyFont="1" applyAlignment="1">
      <alignment/>
    </xf>
    <xf numFmtId="0" fontId="42" fillId="0" borderId="1" xfId="19" applyFont="1" applyFill="1" applyBorder="1" applyAlignment="1">
      <alignment horizontal="left"/>
      <protection/>
    </xf>
    <xf numFmtId="0" fontId="42" fillId="0" borderId="2" xfId="19" applyFont="1" applyFill="1" applyBorder="1">
      <alignment/>
      <protection/>
    </xf>
    <xf numFmtId="0" fontId="42" fillId="0" borderId="4" xfId="19" applyFont="1" applyFill="1" applyBorder="1">
      <alignment/>
      <protection/>
    </xf>
    <xf numFmtId="1" fontId="42" fillId="0" borderId="9" xfId="19" applyNumberFormat="1" applyFont="1" applyFill="1" applyBorder="1">
      <alignment/>
      <protection/>
    </xf>
    <xf numFmtId="165" fontId="42" fillId="0" borderId="9" xfId="19" applyNumberFormat="1" applyFont="1" applyFill="1" applyBorder="1">
      <alignment/>
      <protection/>
    </xf>
    <xf numFmtId="2" fontId="42" fillId="0" borderId="9" xfId="19" applyNumberFormat="1" applyFont="1" applyFill="1" applyBorder="1">
      <alignment/>
      <protection/>
    </xf>
    <xf numFmtId="166" fontId="42" fillId="0" borderId="9" xfId="19" applyNumberFormat="1" applyFont="1" applyFill="1" applyBorder="1">
      <alignment/>
      <protection/>
    </xf>
    <xf numFmtId="1" fontId="42" fillId="0" borderId="12" xfId="19" applyNumberFormat="1" applyFont="1" applyFill="1" applyBorder="1">
      <alignment/>
      <protection/>
    </xf>
    <xf numFmtId="165" fontId="42" fillId="0" borderId="13" xfId="19" applyNumberFormat="1" applyFont="1" applyFill="1" applyBorder="1">
      <alignment/>
      <protection/>
    </xf>
    <xf numFmtId="2" fontId="42" fillId="0" borderId="10" xfId="19" applyNumberFormat="1" applyFont="1" applyFill="1" applyBorder="1">
      <alignment/>
      <protection/>
    </xf>
    <xf numFmtId="166" fontId="42" fillId="0" borderId="13" xfId="19" applyNumberFormat="1" applyFont="1" applyFill="1" applyBorder="1">
      <alignment/>
      <protection/>
    </xf>
    <xf numFmtId="0" fontId="42" fillId="0" borderId="1" xfId="19" applyFont="1" applyFill="1" applyBorder="1" applyAlignment="1">
      <alignment horizontal="left"/>
      <protection/>
    </xf>
    <xf numFmtId="0" fontId="42" fillId="0" borderId="2" xfId="19" applyFont="1" applyFill="1" applyBorder="1">
      <alignment/>
      <protection/>
    </xf>
    <xf numFmtId="0" fontId="42" fillId="0" borderId="4" xfId="19" applyFont="1" applyFill="1" applyBorder="1">
      <alignment/>
      <protection/>
    </xf>
    <xf numFmtId="1" fontId="42" fillId="3" borderId="16" xfId="19" applyNumberFormat="1" applyFont="1" applyFill="1" applyBorder="1">
      <alignment/>
      <protection/>
    </xf>
    <xf numFmtId="165" fontId="42" fillId="3" borderId="16" xfId="19" applyNumberFormat="1" applyFont="1" applyFill="1" applyBorder="1">
      <alignment/>
      <protection/>
    </xf>
    <xf numFmtId="2" fontId="42" fillId="3" borderId="17" xfId="19" applyNumberFormat="1" applyFont="1" applyFill="1" applyBorder="1">
      <alignment/>
      <protection/>
    </xf>
    <xf numFmtId="0" fontId="42" fillId="0" borderId="3" xfId="19" applyFont="1" applyFill="1" applyBorder="1" applyAlignment="1">
      <alignment horizontal="left"/>
      <protection/>
    </xf>
    <xf numFmtId="0" fontId="42" fillId="0" borderId="0" xfId="19" applyFont="1" applyFill="1" applyBorder="1">
      <alignment/>
      <protection/>
    </xf>
    <xf numFmtId="1" fontId="42" fillId="3" borderId="15" xfId="19" applyNumberFormat="1" applyFont="1" applyFill="1" applyBorder="1">
      <alignment/>
      <protection/>
    </xf>
    <xf numFmtId="165" fontId="42" fillId="0" borderId="15" xfId="19" applyNumberFormat="1" applyFont="1" applyFill="1" applyBorder="1">
      <alignment/>
      <protection/>
    </xf>
    <xf numFmtId="2" fontId="42" fillId="0" borderId="15" xfId="19" applyNumberFormat="1" applyFont="1" applyFill="1" applyBorder="1">
      <alignment/>
      <protection/>
    </xf>
    <xf numFmtId="0" fontId="42" fillId="0" borderId="5" xfId="19" applyFont="1" applyFill="1" applyBorder="1">
      <alignment/>
      <protection/>
    </xf>
    <xf numFmtId="1" fontId="42" fillId="3" borderId="14" xfId="19" applyNumberFormat="1" applyFont="1" applyFill="1" applyBorder="1">
      <alignment/>
      <protection/>
    </xf>
    <xf numFmtId="2" fontId="42" fillId="0" borderId="14" xfId="19" applyNumberFormat="1" applyFont="1" applyFill="1" applyBorder="1">
      <alignment/>
      <protection/>
    </xf>
    <xf numFmtId="0" fontId="42" fillId="0" borderId="0" xfId="19" applyFont="1" applyFill="1" applyBorder="1" applyAlignment="1">
      <alignment horizontal="left"/>
      <protection/>
    </xf>
    <xf numFmtId="2" fontId="42" fillId="3" borderId="14" xfId="19" applyNumberFormat="1" applyFont="1" applyFill="1" applyBorder="1">
      <alignment/>
      <protection/>
    </xf>
    <xf numFmtId="2" fontId="42" fillId="0" borderId="0" xfId="19" applyNumberFormat="1" applyFont="1" applyFill="1" applyBorder="1">
      <alignment/>
      <protection/>
    </xf>
    <xf numFmtId="0" fontId="55" fillId="0" borderId="0" xfId="0" applyFont="1" applyAlignment="1">
      <alignment/>
    </xf>
    <xf numFmtId="1" fontId="55" fillId="0" borderId="0" xfId="0" applyNumberFormat="1" applyFont="1" applyAlignment="1">
      <alignment/>
    </xf>
    <xf numFmtId="0" fontId="35" fillId="0" borderId="19" xfId="19" applyFont="1" applyFill="1" applyBorder="1">
      <alignment/>
      <protection/>
    </xf>
    <xf numFmtId="0" fontId="53" fillId="0" borderId="18" xfId="0" applyFont="1" applyBorder="1" applyAlignment="1">
      <alignment/>
    </xf>
    <xf numFmtId="10" fontId="55" fillId="0" borderId="18" xfId="20" applyNumberFormat="1" applyFont="1" applyBorder="1" applyAlignment="1">
      <alignment/>
    </xf>
    <xf numFmtId="10" fontId="55" fillId="0" borderId="18" xfId="0" applyNumberFormat="1" applyFont="1" applyBorder="1" applyAlignment="1">
      <alignment/>
    </xf>
    <xf numFmtId="0" fontId="52" fillId="0" borderId="0" xfId="0" applyFont="1" applyAlignment="1">
      <alignment/>
    </xf>
    <xf numFmtId="0" fontId="26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52" fillId="0" borderId="14" xfId="0" applyFont="1" applyBorder="1" applyAlignment="1">
      <alignment/>
    </xf>
    <xf numFmtId="0" fontId="60" fillId="0" borderId="14" xfId="0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0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165" fontId="15" fillId="0" borderId="9" xfId="19" applyNumberFormat="1" applyFont="1" applyFill="1" applyBorder="1">
      <alignment/>
      <protection/>
    </xf>
    <xf numFmtId="2" fontId="30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9" fontId="27" fillId="0" borderId="0" xfId="2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23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46" fillId="2" borderId="0" xfId="0" applyFont="1" applyFill="1" applyAlignment="1">
      <alignment/>
    </xf>
    <xf numFmtId="1" fontId="22" fillId="2" borderId="0" xfId="0" applyNumberFormat="1" applyFont="1" applyFill="1" applyAlignment="1">
      <alignment/>
    </xf>
    <xf numFmtId="0" fontId="22" fillId="0" borderId="0" xfId="0" applyFont="1" applyAlignment="1">
      <alignment horizontal="right"/>
    </xf>
    <xf numFmtId="1" fontId="46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63" fillId="0" borderId="0" xfId="0" applyFont="1" applyAlignment="1">
      <alignment/>
    </xf>
    <xf numFmtId="1" fontId="63" fillId="0" borderId="0" xfId="0" applyNumberFormat="1" applyFont="1" applyAlignment="1">
      <alignment/>
    </xf>
    <xf numFmtId="1" fontId="25" fillId="0" borderId="33" xfId="0" applyNumberFormat="1" applyFont="1" applyBorder="1" applyAlignment="1">
      <alignment/>
    </xf>
    <xf numFmtId="1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" fontId="25" fillId="0" borderId="0" xfId="0" applyNumberFormat="1" applyFont="1" applyAlignment="1">
      <alignment/>
    </xf>
    <xf numFmtId="1" fontId="63" fillId="0" borderId="33" xfId="0" applyNumberFormat="1" applyFont="1" applyBorder="1" applyAlignment="1">
      <alignment/>
    </xf>
    <xf numFmtId="165" fontId="63" fillId="0" borderId="0" xfId="0" applyNumberFormat="1" applyFont="1" applyAlignment="1">
      <alignment/>
    </xf>
    <xf numFmtId="165" fontId="63" fillId="0" borderId="5" xfId="0" applyNumberFormat="1" applyFont="1" applyBorder="1" applyAlignment="1">
      <alignment/>
    </xf>
    <xf numFmtId="165" fontId="63" fillId="0" borderId="0" xfId="0" applyNumberFormat="1" applyFont="1" applyAlignment="1">
      <alignment/>
    </xf>
    <xf numFmtId="1" fontId="65" fillId="0" borderId="2" xfId="0" applyNumberFormat="1" applyFont="1" applyBorder="1" applyAlignment="1">
      <alignment/>
    </xf>
    <xf numFmtId="1" fontId="65" fillId="0" borderId="33" xfId="0" applyNumberFormat="1" applyFont="1" applyBorder="1" applyAlignment="1">
      <alignment/>
    </xf>
    <xf numFmtId="0" fontId="64" fillId="0" borderId="0" xfId="0" applyFont="1" applyAlignment="1">
      <alignment/>
    </xf>
    <xf numFmtId="0" fontId="21" fillId="0" borderId="0" xfId="19" applyFont="1" applyFill="1" applyBorder="1">
      <alignment/>
      <protection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166" fontId="27" fillId="0" borderId="14" xfId="19" applyNumberFormat="1" applyFont="1" applyFill="1" applyBorder="1">
      <alignment/>
      <protection/>
    </xf>
    <xf numFmtId="166" fontId="15" fillId="0" borderId="9" xfId="19" applyNumberFormat="1" applyFont="1" applyFill="1" applyBorder="1">
      <alignment/>
      <protection/>
    </xf>
    <xf numFmtId="0" fontId="69" fillId="0" borderId="0" xfId="0" applyFont="1" applyAlignment="1">
      <alignment/>
    </xf>
    <xf numFmtId="1" fontId="7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6" fontId="9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0" fontId="69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70" fillId="0" borderId="0" xfId="0" applyNumberFormat="1" applyFont="1" applyBorder="1" applyAlignment="1">
      <alignment/>
    </xf>
    <xf numFmtId="1" fontId="25" fillId="0" borderId="2" xfId="0" applyNumberFormat="1" applyFont="1" applyBorder="1" applyAlignment="1">
      <alignment/>
    </xf>
    <xf numFmtId="1" fontId="25" fillId="0" borderId="2" xfId="0" applyNumberFormat="1" applyFont="1" applyBorder="1" applyAlignment="1">
      <alignment/>
    </xf>
    <xf numFmtId="1" fontId="63" fillId="0" borderId="2" xfId="0" applyNumberFormat="1" applyFont="1" applyBorder="1" applyAlignment="1">
      <alignment/>
    </xf>
    <xf numFmtId="165" fontId="63" fillId="0" borderId="2" xfId="0" applyNumberFormat="1" applyFont="1" applyBorder="1" applyAlignment="1">
      <alignment/>
    </xf>
    <xf numFmtId="1" fontId="25" fillId="0" borderId="0" xfId="0" applyNumberFormat="1" applyFont="1" applyBorder="1" applyAlignment="1">
      <alignment/>
    </xf>
    <xf numFmtId="0" fontId="63" fillId="0" borderId="0" xfId="0" applyFont="1" applyBorder="1" applyAlignment="1">
      <alignment/>
    </xf>
    <xf numFmtId="1" fontId="63" fillId="0" borderId="39" xfId="0" applyNumberFormat="1" applyFont="1" applyBorder="1" applyAlignment="1">
      <alignment wrapText="1"/>
    </xf>
    <xf numFmtId="1" fontId="25" fillId="0" borderId="40" xfId="0" applyNumberFormat="1" applyFont="1" applyBorder="1" applyAlignment="1">
      <alignment/>
    </xf>
    <xf numFmtId="0" fontId="63" fillId="0" borderId="40" xfId="0" applyFont="1" applyBorder="1" applyAlignment="1">
      <alignment/>
    </xf>
    <xf numFmtId="0" fontId="25" fillId="0" borderId="40" xfId="0" applyFont="1" applyBorder="1" applyAlignment="1">
      <alignment/>
    </xf>
    <xf numFmtId="165" fontId="63" fillId="0" borderId="40" xfId="0" applyNumberFormat="1" applyFont="1" applyBorder="1" applyAlignment="1">
      <alignment/>
    </xf>
    <xf numFmtId="165" fontId="25" fillId="0" borderId="40" xfId="0" applyNumberFormat="1" applyFont="1" applyBorder="1" applyAlignment="1">
      <alignment/>
    </xf>
    <xf numFmtId="1" fontId="25" fillId="0" borderId="40" xfId="0" applyNumberFormat="1" applyFont="1" applyBorder="1" applyAlignment="1">
      <alignment/>
    </xf>
    <xf numFmtId="0" fontId="25" fillId="0" borderId="40" xfId="0" applyFont="1" applyBorder="1" applyAlignment="1">
      <alignment/>
    </xf>
    <xf numFmtId="0" fontId="64" fillId="0" borderId="41" xfId="0" applyFont="1" applyBorder="1" applyAlignment="1">
      <alignment/>
    </xf>
    <xf numFmtId="0" fontId="63" fillId="0" borderId="39" xfId="0" applyFont="1" applyBorder="1" applyAlignment="1">
      <alignment wrapText="1"/>
    </xf>
    <xf numFmtId="1" fontId="63" fillId="0" borderId="40" xfId="0" applyNumberFormat="1" applyFont="1" applyBorder="1" applyAlignment="1">
      <alignment/>
    </xf>
    <xf numFmtId="1" fontId="63" fillId="0" borderId="40" xfId="0" applyNumberFormat="1" applyFont="1" applyBorder="1" applyAlignment="1">
      <alignment/>
    </xf>
    <xf numFmtId="2" fontId="63" fillId="0" borderId="0" xfId="0" applyNumberFormat="1" applyFont="1" applyBorder="1" applyAlignment="1">
      <alignment/>
    </xf>
    <xf numFmtId="1" fontId="25" fillId="0" borderId="7" xfId="0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3" fontId="27" fillId="0" borderId="0" xfId="19" applyNumberFormat="1" applyFont="1" applyFill="1" applyBorder="1" applyAlignment="1">
      <alignment horizontal="center"/>
      <protection/>
    </xf>
    <xf numFmtId="164" fontId="27" fillId="0" borderId="0" xfId="19" applyNumberFormat="1" applyFont="1" applyFill="1" applyBorder="1" applyAlignment="1">
      <alignment wrapText="1"/>
      <protection/>
    </xf>
    <xf numFmtId="3" fontId="27" fillId="0" borderId="0" xfId="19" applyNumberFormat="1" applyFont="1" applyFill="1" applyBorder="1" applyAlignment="1">
      <alignment horizontal="center" wrapText="1"/>
      <protection/>
    </xf>
    <xf numFmtId="0" fontId="27" fillId="0" borderId="0" xfId="0" applyFont="1" applyBorder="1" applyAlignment="1">
      <alignment wrapText="1"/>
    </xf>
    <xf numFmtId="1" fontId="22" fillId="0" borderId="0" xfId="19" applyNumberFormat="1" applyFont="1" applyFill="1" applyBorder="1">
      <alignment/>
      <protection/>
    </xf>
    <xf numFmtId="165" fontId="27" fillId="0" borderId="0" xfId="19" applyNumberFormat="1" applyFont="1" applyFill="1" applyBorder="1">
      <alignment/>
      <protection/>
    </xf>
    <xf numFmtId="2" fontId="27" fillId="0" borderId="0" xfId="19" applyNumberFormat="1" applyFont="1" applyFill="1" applyBorder="1">
      <alignment/>
      <protection/>
    </xf>
    <xf numFmtId="165" fontId="21" fillId="0" borderId="0" xfId="19" applyNumberFormat="1" applyFont="1" applyFill="1" applyBorder="1">
      <alignment/>
      <protection/>
    </xf>
    <xf numFmtId="165" fontId="21" fillId="0" borderId="0" xfId="0" applyNumberFormat="1" applyFont="1" applyBorder="1" applyAlignment="1">
      <alignment/>
    </xf>
    <xf numFmtId="165" fontId="21" fillId="3" borderId="0" xfId="19" applyNumberFormat="1" applyFont="1" applyFill="1" applyBorder="1">
      <alignment/>
      <protection/>
    </xf>
    <xf numFmtId="0" fontId="21" fillId="0" borderId="0" xfId="19" applyFont="1" applyBorder="1">
      <alignment/>
      <protection/>
    </xf>
    <xf numFmtId="165" fontId="22" fillId="0" borderId="0" xfId="0" applyNumberFormat="1" applyFont="1" applyBorder="1" applyAlignment="1">
      <alignment/>
    </xf>
    <xf numFmtId="1" fontId="67" fillId="0" borderId="0" xfId="0" applyNumberFormat="1" applyFont="1" applyBorder="1" applyAlignment="1">
      <alignment/>
    </xf>
    <xf numFmtId="9" fontId="25" fillId="0" borderId="0" xfId="20" applyFont="1" applyBorder="1" applyAlignment="1">
      <alignment/>
    </xf>
    <xf numFmtId="165" fontId="67" fillId="0" borderId="0" xfId="0" applyNumberFormat="1" applyFont="1" applyBorder="1" applyAlignment="1">
      <alignment/>
    </xf>
    <xf numFmtId="165" fontId="63" fillId="0" borderId="0" xfId="0" applyNumberFormat="1" applyFont="1" applyBorder="1" applyAlignment="1">
      <alignment/>
    </xf>
    <xf numFmtId="9" fontId="63" fillId="0" borderId="0" xfId="20" applyFont="1" applyBorder="1" applyAlignment="1">
      <alignment/>
    </xf>
    <xf numFmtId="1" fontId="63" fillId="0" borderId="0" xfId="0" applyNumberFormat="1" applyFont="1" applyBorder="1" applyAlignment="1">
      <alignment/>
    </xf>
    <xf numFmtId="1" fontId="63" fillId="0" borderId="0" xfId="0" applyNumberFormat="1" applyFont="1" applyBorder="1" applyAlignment="1">
      <alignment/>
    </xf>
    <xf numFmtId="165" fontId="67" fillId="3" borderId="0" xfId="0" applyNumberFormat="1" applyFont="1" applyFill="1" applyBorder="1" applyAlignment="1">
      <alignment/>
    </xf>
    <xf numFmtId="165" fontId="63" fillId="3" borderId="0" xfId="0" applyNumberFormat="1" applyFont="1" applyFill="1" applyBorder="1" applyAlignment="1">
      <alignment/>
    </xf>
    <xf numFmtId="1" fontId="63" fillId="3" borderId="0" xfId="0" applyNumberFormat="1" applyFont="1" applyFill="1" applyBorder="1" applyAlignment="1">
      <alignment/>
    </xf>
    <xf numFmtId="2" fontId="25" fillId="0" borderId="0" xfId="0" applyNumberFormat="1" applyFont="1" applyBorder="1" applyAlignment="1">
      <alignment/>
    </xf>
    <xf numFmtId="1" fontId="67" fillId="0" borderId="0" xfId="0" applyNumberFormat="1" applyFont="1" applyBorder="1" applyAlignment="1">
      <alignment/>
    </xf>
    <xf numFmtId="1" fontId="25" fillId="0" borderId="0" xfId="0" applyNumberFormat="1" applyFont="1" applyBorder="1" applyAlignment="1">
      <alignment/>
    </xf>
    <xf numFmtId="9" fontId="25" fillId="0" borderId="0" xfId="20" applyFont="1" applyBorder="1" applyAlignment="1">
      <alignment/>
    </xf>
    <xf numFmtId="1" fontId="71" fillId="0" borderId="0" xfId="0" applyNumberFormat="1" applyFont="1" applyBorder="1" applyAlignment="1">
      <alignment/>
    </xf>
    <xf numFmtId="166" fontId="67" fillId="0" borderId="0" xfId="0" applyNumberFormat="1" applyFont="1" applyBorder="1" applyAlignment="1">
      <alignment/>
    </xf>
    <xf numFmtId="166" fontId="63" fillId="0" borderId="0" xfId="0" applyNumberFormat="1" applyFont="1" applyBorder="1" applyAlignment="1">
      <alignment/>
    </xf>
    <xf numFmtId="9" fontId="63" fillId="0" borderId="0" xfId="20" applyNumberFormat="1" applyFont="1" applyBorder="1" applyAlignment="1">
      <alignment/>
    </xf>
    <xf numFmtId="1" fontId="71" fillId="0" borderId="0" xfId="0" applyNumberFormat="1" applyFont="1" applyBorder="1" applyAlignment="1">
      <alignment/>
    </xf>
    <xf numFmtId="9" fontId="25" fillId="0" borderId="0" xfId="20" applyNumberFormat="1" applyFont="1" applyBorder="1" applyAlignment="1">
      <alignment/>
    </xf>
    <xf numFmtId="2" fontId="64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/>
    </xf>
    <xf numFmtId="1" fontId="65" fillId="0" borderId="0" xfId="0" applyNumberFormat="1" applyFont="1" applyBorder="1" applyAlignment="1">
      <alignment/>
    </xf>
    <xf numFmtId="2" fontId="21" fillId="3" borderId="0" xfId="19" applyNumberFormat="1" applyFont="1" applyFill="1" applyBorder="1">
      <alignment/>
      <protection/>
    </xf>
    <xf numFmtId="165" fontId="66" fillId="3" borderId="0" xfId="19" applyNumberFormat="1" applyFont="1" applyFill="1" applyBorder="1">
      <alignment/>
      <protection/>
    </xf>
    <xf numFmtId="9" fontId="63" fillId="0" borderId="0" xfId="20" applyFont="1" applyBorder="1" applyAlignment="1">
      <alignment/>
    </xf>
    <xf numFmtId="1" fontId="27" fillId="3" borderId="0" xfId="19" applyNumberFormat="1" applyFont="1" applyFill="1" applyBorder="1">
      <alignment/>
      <protection/>
    </xf>
    <xf numFmtId="1" fontId="21" fillId="3" borderId="0" xfId="19" applyNumberFormat="1" applyFont="1" applyFill="1" applyBorder="1">
      <alignment/>
      <protection/>
    </xf>
    <xf numFmtId="1" fontId="23" fillId="0" borderId="0" xfId="0" applyNumberFormat="1" applyFont="1" applyBorder="1" applyAlignment="1">
      <alignment/>
    </xf>
    <xf numFmtId="9" fontId="22" fillId="0" borderId="0" xfId="20" applyFont="1" applyFill="1" applyBorder="1" applyAlignment="1">
      <alignment/>
    </xf>
    <xf numFmtId="1" fontId="22" fillId="0" borderId="0" xfId="0" applyNumberFormat="1" applyFont="1" applyBorder="1" applyAlignment="1">
      <alignment/>
    </xf>
    <xf numFmtId="1" fontId="27" fillId="0" borderId="0" xfId="19" applyNumberFormat="1" applyFont="1" applyFill="1" applyBorder="1">
      <alignment/>
      <protection/>
    </xf>
    <xf numFmtId="1" fontId="21" fillId="0" borderId="0" xfId="19" applyNumberFormat="1" applyFont="1" applyFill="1" applyBorder="1">
      <alignment/>
      <protection/>
    </xf>
    <xf numFmtId="0" fontId="27" fillId="0" borderId="42" xfId="0" applyFont="1" applyBorder="1" applyAlignment="1">
      <alignment/>
    </xf>
    <xf numFmtId="0" fontId="21" fillId="0" borderId="42" xfId="0" applyFont="1" applyBorder="1" applyAlignment="1">
      <alignment/>
    </xf>
    <xf numFmtId="0" fontId="72" fillId="0" borderId="0" xfId="0" applyFont="1" applyAlignment="1">
      <alignment/>
    </xf>
    <xf numFmtId="0" fontId="75" fillId="0" borderId="0" xfId="0" applyFont="1" applyAlignment="1">
      <alignment/>
    </xf>
    <xf numFmtId="1" fontId="25" fillId="0" borderId="7" xfId="20" applyNumberFormat="1" applyFont="1" applyBorder="1" applyAlignment="1">
      <alignment/>
    </xf>
    <xf numFmtId="165" fontId="25" fillId="0" borderId="42" xfId="0" applyNumberFormat="1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/>
    </xf>
    <xf numFmtId="0" fontId="25" fillId="0" borderId="3" xfId="0" applyFont="1" applyBorder="1" applyAlignment="1">
      <alignment/>
    </xf>
    <xf numFmtId="0" fontId="63" fillId="0" borderId="3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0" xfId="0" applyFont="1" applyBorder="1" applyAlignment="1">
      <alignment/>
    </xf>
    <xf numFmtId="1" fontId="27" fillId="0" borderId="8" xfId="19" applyNumberFormat="1" applyFont="1" applyFill="1" applyBorder="1">
      <alignment/>
      <protection/>
    </xf>
    <xf numFmtId="165" fontId="63" fillId="0" borderId="24" xfId="0" applyNumberFormat="1" applyFont="1" applyBorder="1" applyAlignment="1">
      <alignment/>
    </xf>
    <xf numFmtId="165" fontId="63" fillId="0" borderId="18" xfId="0" applyNumberFormat="1" applyFont="1" applyBorder="1" applyAlignment="1">
      <alignment/>
    </xf>
    <xf numFmtId="165" fontId="63" fillId="0" borderId="29" xfId="0" applyNumberFormat="1" applyFont="1" applyBorder="1" applyAlignment="1">
      <alignment/>
    </xf>
    <xf numFmtId="1" fontId="63" fillId="0" borderId="24" xfId="0" applyNumberFormat="1" applyFont="1" applyBorder="1" applyAlignment="1">
      <alignment/>
    </xf>
    <xf numFmtId="1" fontId="63" fillId="0" borderId="18" xfId="0" applyNumberFormat="1" applyFont="1" applyBorder="1" applyAlignment="1">
      <alignment/>
    </xf>
    <xf numFmtId="1" fontId="63" fillId="0" borderId="29" xfId="0" applyNumberFormat="1" applyFont="1" applyBorder="1" applyAlignment="1">
      <alignment/>
    </xf>
    <xf numFmtId="166" fontId="63" fillId="0" borderId="10" xfId="0" applyNumberFormat="1" applyFont="1" applyBorder="1" applyAlignment="1">
      <alignment/>
    </xf>
    <xf numFmtId="166" fontId="63" fillId="0" borderId="18" xfId="0" applyNumberFormat="1" applyFont="1" applyBorder="1" applyAlignment="1">
      <alignment/>
    </xf>
    <xf numFmtId="165" fontId="21" fillId="3" borderId="8" xfId="19" applyNumberFormat="1" applyFont="1" applyFill="1" applyBorder="1">
      <alignment/>
      <protection/>
    </xf>
    <xf numFmtId="165" fontId="21" fillId="0" borderId="24" xfId="19" applyNumberFormat="1" applyFont="1" applyFill="1" applyBorder="1">
      <alignment/>
      <protection/>
    </xf>
    <xf numFmtId="165" fontId="21" fillId="0" borderId="18" xfId="19" applyNumberFormat="1" applyFont="1" applyFill="1" applyBorder="1">
      <alignment/>
      <protection/>
    </xf>
    <xf numFmtId="0" fontId="63" fillId="0" borderId="5" xfId="0" applyFont="1" applyBorder="1" applyAlignment="1">
      <alignment/>
    </xf>
    <xf numFmtId="0" fontId="63" fillId="0" borderId="0" xfId="0" applyFont="1" applyBorder="1" applyAlignment="1">
      <alignment horizontal="left"/>
    </xf>
    <xf numFmtId="0" fontId="73" fillId="0" borderId="0" xfId="0" applyFont="1" applyBorder="1" applyAlignment="1">
      <alignment/>
    </xf>
    <xf numFmtId="0" fontId="25" fillId="0" borderId="0" xfId="0" applyFont="1" applyBorder="1" applyAlignment="1">
      <alignment horizontal="right" wrapText="1"/>
    </xf>
    <xf numFmtId="0" fontId="67" fillId="0" borderId="0" xfId="0" applyFont="1" applyBorder="1" applyAlignment="1">
      <alignment horizontal="right" wrapText="1"/>
    </xf>
    <xf numFmtId="0" fontId="25" fillId="0" borderId="0" xfId="0" applyFont="1" applyBorder="1" applyAlignment="1">
      <alignment horizontal="right" wrapText="1"/>
    </xf>
    <xf numFmtId="0" fontId="27" fillId="0" borderId="0" xfId="19" applyFont="1" applyFill="1" applyBorder="1" applyAlignment="1">
      <alignment horizontal="left"/>
      <protection/>
    </xf>
    <xf numFmtId="1" fontId="74" fillId="0" borderId="0" xfId="19" applyNumberFormat="1" applyFont="1" applyFill="1" applyBorder="1">
      <alignment/>
      <protection/>
    </xf>
    <xf numFmtId="1" fontId="73" fillId="0" borderId="0" xfId="0" applyNumberFormat="1" applyFont="1" applyBorder="1" applyAlignment="1">
      <alignment/>
    </xf>
    <xf numFmtId="165" fontId="71" fillId="0" borderId="0" xfId="0" applyNumberFormat="1" applyFont="1" applyBorder="1" applyAlignment="1">
      <alignment/>
    </xf>
    <xf numFmtId="1" fontId="73" fillId="0" borderId="0" xfId="0" applyNumberFormat="1" applyFont="1" applyBorder="1" applyAlignment="1">
      <alignment/>
    </xf>
    <xf numFmtId="1" fontId="75" fillId="0" borderId="0" xfId="0" applyNumberFormat="1" applyFont="1" applyBorder="1" applyAlignment="1">
      <alignment/>
    </xf>
    <xf numFmtId="1" fontId="75" fillId="0" borderId="0" xfId="0" applyNumberFormat="1" applyFont="1" applyBorder="1" applyAlignment="1">
      <alignment/>
    </xf>
    <xf numFmtId="2" fontId="72" fillId="0" borderId="0" xfId="19" applyNumberFormat="1" applyFont="1" applyFill="1" applyBorder="1">
      <alignment/>
      <protection/>
    </xf>
    <xf numFmtId="0" fontId="75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25" fillId="0" borderId="0" xfId="0" applyFont="1" applyBorder="1" applyAlignment="1">
      <alignment/>
    </xf>
    <xf numFmtId="10" fontId="25" fillId="0" borderId="0" xfId="20" applyNumberFormat="1" applyFont="1" applyBorder="1" applyAlignment="1">
      <alignment/>
    </xf>
    <xf numFmtId="10" fontId="25" fillId="0" borderId="0" xfId="0" applyNumberFormat="1" applyFont="1" applyBorder="1" applyAlignment="1">
      <alignment/>
    </xf>
    <xf numFmtId="1" fontId="64" fillId="0" borderId="0" xfId="0" applyNumberFormat="1" applyFont="1" applyAlignment="1">
      <alignment/>
    </xf>
    <xf numFmtId="165" fontId="65" fillId="0" borderId="40" xfId="0" applyNumberFormat="1" applyFont="1" applyBorder="1" applyAlignment="1">
      <alignment/>
    </xf>
    <xf numFmtId="0" fontId="64" fillId="0" borderId="40" xfId="0" applyFont="1" applyBorder="1" applyAlignment="1">
      <alignment/>
    </xf>
    <xf numFmtId="165" fontId="64" fillId="0" borderId="0" xfId="0" applyNumberFormat="1" applyFont="1" applyAlignment="1">
      <alignment/>
    </xf>
    <xf numFmtId="165" fontId="64" fillId="0" borderId="18" xfId="0" applyNumberFormat="1" applyFont="1" applyBorder="1" applyAlignment="1">
      <alignment/>
    </xf>
    <xf numFmtId="166" fontId="64" fillId="0" borderId="18" xfId="0" applyNumberFormat="1" applyFont="1" applyBorder="1" applyAlignment="1">
      <alignment/>
    </xf>
    <xf numFmtId="165" fontId="64" fillId="0" borderId="29" xfId="0" applyNumberFormat="1" applyFont="1" applyBorder="1" applyAlignment="1">
      <alignment/>
    </xf>
    <xf numFmtId="0" fontId="22" fillId="0" borderId="0" xfId="19" applyFont="1" applyFill="1" applyBorder="1" applyAlignment="1">
      <alignment horizontal="left"/>
      <protection/>
    </xf>
    <xf numFmtId="0" fontId="63" fillId="0" borderId="24" xfId="0" applyFont="1" applyBorder="1" applyAlignment="1">
      <alignment horizontal="right"/>
    </xf>
    <xf numFmtId="0" fontId="63" fillId="0" borderId="7" xfId="0" applyFont="1" applyBorder="1" applyAlignment="1">
      <alignment wrapText="1"/>
    </xf>
    <xf numFmtId="0" fontId="25" fillId="0" borderId="3" xfId="0" applyFont="1" applyBorder="1" applyAlignment="1">
      <alignment/>
    </xf>
    <xf numFmtId="0" fontId="63" fillId="0" borderId="11" xfId="0" applyFont="1" applyBorder="1" applyAlignment="1">
      <alignment/>
    </xf>
    <xf numFmtId="9" fontId="21" fillId="0" borderId="0" xfId="20" applyFont="1" applyBorder="1" applyAlignment="1">
      <alignment/>
    </xf>
    <xf numFmtId="164" fontId="27" fillId="0" borderId="0" xfId="19" applyNumberFormat="1" applyFont="1" applyFill="1" applyBorder="1" applyAlignment="1">
      <alignment horizontal="right" wrapText="1"/>
      <protection/>
    </xf>
    <xf numFmtId="3" fontId="27" fillId="0" borderId="0" xfId="19" applyNumberFormat="1" applyFont="1" applyFill="1" applyBorder="1" applyAlignment="1">
      <alignment horizontal="right" wrapText="1"/>
      <protection/>
    </xf>
    <xf numFmtId="0" fontId="27" fillId="0" borderId="0" xfId="0" applyFont="1" applyBorder="1" applyAlignment="1">
      <alignment horizontal="right" wrapText="1"/>
    </xf>
    <xf numFmtId="0" fontId="73" fillId="0" borderId="0" xfId="0" applyFont="1" applyBorder="1" applyAlignment="1">
      <alignment horizontal="right" wrapText="1"/>
    </xf>
    <xf numFmtId="1" fontId="75" fillId="0" borderId="0" xfId="19" applyNumberFormat="1" applyFont="1" applyFill="1" applyBorder="1">
      <alignment/>
      <protection/>
    </xf>
    <xf numFmtId="165" fontId="75" fillId="0" borderId="0" xfId="0" applyNumberFormat="1" applyFont="1" applyBorder="1" applyAlignment="1">
      <alignment/>
    </xf>
    <xf numFmtId="166" fontId="75" fillId="0" borderId="0" xfId="0" applyNumberFormat="1" applyFont="1" applyBorder="1" applyAlignment="1">
      <alignment/>
    </xf>
    <xf numFmtId="165" fontId="75" fillId="0" borderId="0" xfId="0" applyNumberFormat="1" applyFont="1" applyBorder="1" applyAlignment="1">
      <alignment/>
    </xf>
    <xf numFmtId="165" fontId="75" fillId="3" borderId="0" xfId="0" applyNumberFormat="1" applyFont="1" applyFill="1" applyBorder="1" applyAlignment="1">
      <alignment/>
    </xf>
    <xf numFmtId="1" fontId="75" fillId="3" borderId="0" xfId="0" applyNumberFormat="1" applyFont="1" applyFill="1" applyBorder="1" applyAlignment="1">
      <alignment/>
    </xf>
    <xf numFmtId="165" fontId="73" fillId="0" borderId="0" xfId="0" applyNumberFormat="1" applyFont="1" applyBorder="1" applyAlignment="1">
      <alignment/>
    </xf>
    <xf numFmtId="1" fontId="74" fillId="3" borderId="0" xfId="19" applyNumberFormat="1" applyFont="1" applyFill="1" applyBorder="1">
      <alignment/>
      <protection/>
    </xf>
    <xf numFmtId="165" fontId="72" fillId="0" borderId="0" xfId="19" applyNumberFormat="1" applyFont="1" applyFill="1" applyBorder="1">
      <alignment/>
      <protection/>
    </xf>
    <xf numFmtId="0" fontId="73" fillId="0" borderId="0" xfId="0" applyFont="1" applyBorder="1" applyAlignment="1">
      <alignment/>
    </xf>
    <xf numFmtId="166" fontId="75" fillId="0" borderId="0" xfId="0" applyNumberFormat="1" applyFont="1" applyBorder="1" applyAlignment="1">
      <alignment/>
    </xf>
    <xf numFmtId="1" fontId="75" fillId="3" borderId="0" xfId="19" applyNumberFormat="1" applyFont="1" applyFill="1" applyBorder="1">
      <alignment/>
      <protection/>
    </xf>
    <xf numFmtId="165" fontId="75" fillId="3" borderId="0" xfId="19" applyNumberFormat="1" applyFont="1" applyFill="1" applyBorder="1">
      <alignment/>
      <protection/>
    </xf>
    <xf numFmtId="0" fontId="74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A1" sqref="A1:IV16384"/>
    </sheetView>
  </sheetViews>
  <sheetFormatPr defaultColWidth="9.140625" defaultRowHeight="12.75"/>
  <cols>
    <col min="1" max="1" width="6.57421875" style="206" customWidth="1"/>
    <col min="2" max="2" width="55.8515625" style="206" bestFit="1" customWidth="1"/>
    <col min="3" max="3" width="9.140625" style="206" customWidth="1"/>
    <col min="4" max="4" width="6.57421875" style="206" customWidth="1"/>
    <col min="5" max="16384" width="9.140625" style="206" customWidth="1"/>
  </cols>
  <sheetData>
    <row r="1" spans="1:5" ht="15.75">
      <c r="A1" s="627"/>
      <c r="B1" s="627" t="s">
        <v>456</v>
      </c>
      <c r="C1" s="627"/>
      <c r="D1" s="627"/>
      <c r="E1" s="627"/>
    </row>
    <row r="2" spans="1:5" ht="15.75">
      <c r="A2" s="107"/>
      <c r="B2" s="107" t="s">
        <v>457</v>
      </c>
      <c r="C2" s="107"/>
      <c r="D2" s="107"/>
      <c r="E2" s="628"/>
    </row>
    <row r="3" spans="1:5" ht="4.5" customHeight="1">
      <c r="A3" s="107"/>
      <c r="B3" s="107"/>
      <c r="C3" s="107"/>
      <c r="D3" s="107"/>
      <c r="E3" s="107"/>
    </row>
    <row r="4" spans="1:5" ht="15.75">
      <c r="A4" s="629" t="s">
        <v>478</v>
      </c>
      <c r="B4" s="627" t="s">
        <v>479</v>
      </c>
      <c r="C4" s="630" t="s">
        <v>477</v>
      </c>
      <c r="D4" s="107"/>
      <c r="E4" s="107"/>
    </row>
    <row r="5" spans="1:5" ht="15.75">
      <c r="A5" s="631">
        <v>1</v>
      </c>
      <c r="B5" s="631" t="s">
        <v>458</v>
      </c>
      <c r="C5" s="631">
        <v>150000</v>
      </c>
      <c r="D5" s="631"/>
      <c r="E5" s="632"/>
    </row>
    <row r="6" spans="1:5" ht="15.75">
      <c r="A6" s="631">
        <v>2</v>
      </c>
      <c r="B6" s="631" t="s">
        <v>459</v>
      </c>
      <c r="C6" s="631">
        <v>20000</v>
      </c>
      <c r="D6" s="631"/>
      <c r="E6" s="632"/>
    </row>
    <row r="7" spans="1:5" ht="15.75">
      <c r="A7" s="631">
        <v>3</v>
      </c>
      <c r="B7" s="631" t="s">
        <v>460</v>
      </c>
      <c r="C7" s="631">
        <v>50000</v>
      </c>
      <c r="D7" s="631"/>
      <c r="E7" s="632"/>
    </row>
    <row r="8" spans="1:5" ht="15.75">
      <c r="A8" s="631">
        <v>4</v>
      </c>
      <c r="B8" s="631" t="s">
        <v>492</v>
      </c>
      <c r="C8" s="631">
        <v>35000</v>
      </c>
      <c r="D8" s="631"/>
      <c r="E8" s="632"/>
    </row>
    <row r="9" spans="1:5" ht="15.75">
      <c r="A9" s="631">
        <v>5</v>
      </c>
      <c r="B9" s="631" t="s">
        <v>461</v>
      </c>
      <c r="C9" s="631">
        <v>38000</v>
      </c>
      <c r="D9" s="631"/>
      <c r="E9" s="632"/>
    </row>
    <row r="10" spans="1:5" ht="15.75">
      <c r="A10" s="631">
        <v>6</v>
      </c>
      <c r="B10" s="631" t="s">
        <v>462</v>
      </c>
      <c r="C10" s="631">
        <v>32000</v>
      </c>
      <c r="D10" s="631"/>
      <c r="E10" s="632"/>
    </row>
    <row r="11" spans="1:5" ht="15.75">
      <c r="A11" s="631">
        <v>7</v>
      </c>
      <c r="B11" s="631" t="s">
        <v>463</v>
      </c>
      <c r="C11" s="631">
        <v>80000</v>
      </c>
      <c r="D11" s="631"/>
      <c r="E11" s="632"/>
    </row>
    <row r="12" spans="1:5" ht="15.75">
      <c r="A12" s="631">
        <v>8</v>
      </c>
      <c r="B12" s="631" t="s">
        <v>464</v>
      </c>
      <c r="C12" s="631">
        <v>18000</v>
      </c>
      <c r="D12" s="631"/>
      <c r="E12" s="632"/>
    </row>
    <row r="13" spans="1:5" ht="15.75">
      <c r="A13" s="631">
        <v>9</v>
      </c>
      <c r="B13" s="631" t="s">
        <v>465</v>
      </c>
      <c r="C13" s="631">
        <v>60000</v>
      </c>
      <c r="D13" s="631"/>
      <c r="E13" s="632"/>
    </row>
    <row r="14" spans="1:5" ht="15.75">
      <c r="A14" s="631">
        <v>10</v>
      </c>
      <c r="B14" s="631" t="s">
        <v>466</v>
      </c>
      <c r="C14" s="631">
        <v>45000</v>
      </c>
      <c r="D14" s="631"/>
      <c r="E14" s="632"/>
    </row>
    <row r="15" spans="1:5" ht="15.75">
      <c r="A15" s="631">
        <v>11</v>
      </c>
      <c r="B15" s="631" t="s">
        <v>467</v>
      </c>
      <c r="C15" s="631">
        <v>20000</v>
      </c>
      <c r="D15" s="631"/>
      <c r="E15" s="632"/>
    </row>
    <row r="16" spans="1:5" ht="15.75">
      <c r="A16" s="631">
        <v>12</v>
      </c>
      <c r="B16" s="631" t="s">
        <v>468</v>
      </c>
      <c r="C16" s="631">
        <v>300000</v>
      </c>
      <c r="D16" s="631"/>
      <c r="E16" s="632"/>
    </row>
    <row r="17" spans="1:5" ht="15.75">
      <c r="A17" s="631">
        <v>13</v>
      </c>
      <c r="B17" s="631" t="s">
        <v>469</v>
      </c>
      <c r="C17" s="631">
        <v>40000</v>
      </c>
      <c r="D17" s="631"/>
      <c r="E17" s="632"/>
    </row>
    <row r="18" spans="1:5" ht="15.75">
      <c r="A18" s="631">
        <v>14</v>
      </c>
      <c r="B18" s="631" t="s">
        <v>470</v>
      </c>
      <c r="C18" s="631">
        <v>30000</v>
      </c>
      <c r="D18" s="631"/>
      <c r="E18" s="632"/>
    </row>
    <row r="19" spans="1:5" ht="15.75">
      <c r="A19" s="631">
        <v>15</v>
      </c>
      <c r="B19" s="631" t="s">
        <v>471</v>
      </c>
      <c r="C19" s="631">
        <v>50000</v>
      </c>
      <c r="D19" s="631"/>
      <c r="E19" s="632"/>
    </row>
    <row r="20" spans="1:5" ht="15.75">
      <c r="A20" s="633" t="s">
        <v>480</v>
      </c>
      <c r="B20" s="634" t="s">
        <v>481</v>
      </c>
      <c r="C20" s="635"/>
      <c r="D20" s="635"/>
      <c r="E20" s="633"/>
    </row>
    <row r="21" spans="1:5" ht="15.75">
      <c r="A21" s="631">
        <v>16</v>
      </c>
      <c r="B21" s="631" t="s">
        <v>473</v>
      </c>
      <c r="C21" s="631">
        <v>40000</v>
      </c>
      <c r="D21" s="631"/>
      <c r="E21" s="632"/>
    </row>
    <row r="22" spans="1:5" ht="15.75">
      <c r="A22" s="631">
        <v>17</v>
      </c>
      <c r="B22" s="631" t="s">
        <v>474</v>
      </c>
      <c r="C22" s="631">
        <v>230000</v>
      </c>
      <c r="D22" s="631"/>
      <c r="E22" s="632"/>
    </row>
    <row r="23" spans="1:5" ht="15.75">
      <c r="A23" s="632" t="s">
        <v>482</v>
      </c>
      <c r="B23" s="636" t="s">
        <v>483</v>
      </c>
      <c r="C23" s="631"/>
      <c r="D23" s="631"/>
      <c r="E23" s="632"/>
    </row>
    <row r="24" spans="1:5" ht="15.75">
      <c r="A24" s="631">
        <v>18</v>
      </c>
      <c r="B24" s="631" t="s">
        <v>484</v>
      </c>
      <c r="C24" s="631">
        <v>20000</v>
      </c>
      <c r="D24" s="631"/>
      <c r="E24" s="631"/>
    </row>
    <row r="25" spans="1:5" ht="15.75">
      <c r="A25" s="631">
        <v>19</v>
      </c>
      <c r="B25" s="631" t="s">
        <v>485</v>
      </c>
      <c r="C25" s="631">
        <f>1164300-416000</f>
        <v>748300</v>
      </c>
      <c r="D25" s="631"/>
      <c r="E25" s="631"/>
    </row>
    <row r="26" spans="1:5" ht="15.75">
      <c r="A26" s="631">
        <v>20</v>
      </c>
      <c r="B26" s="631"/>
      <c r="C26" s="631"/>
      <c r="D26" s="631"/>
      <c r="E26" s="631"/>
    </row>
    <row r="27" spans="1:5" ht="15.75">
      <c r="A27" s="631">
        <v>21</v>
      </c>
      <c r="B27" s="631"/>
      <c r="C27" s="631"/>
      <c r="D27" s="631"/>
      <c r="E27" s="631"/>
    </row>
    <row r="28" spans="1:5" ht="15.75">
      <c r="A28" s="636"/>
      <c r="B28" s="636" t="s">
        <v>472</v>
      </c>
      <c r="C28" s="637">
        <f>SUM(C5:C27)</f>
        <v>2006300</v>
      </c>
      <c r="D28" s="637"/>
      <c r="E28" s="637">
        <f>SUM(E5:E27)</f>
        <v>0</v>
      </c>
    </row>
    <row r="29" spans="1:5" ht="15.75">
      <c r="A29" s="107"/>
      <c r="B29" s="107" t="s">
        <v>476</v>
      </c>
      <c r="C29" s="107"/>
      <c r="D29" s="107"/>
      <c r="E29" s="107"/>
    </row>
    <row r="30" spans="1:5" ht="15.75">
      <c r="A30" s="107"/>
      <c r="B30" s="107"/>
      <c r="C30" s="107"/>
      <c r="D30" s="107"/>
      <c r="E30" s="107"/>
    </row>
    <row r="31" spans="1:3" s="627" customFormat="1" ht="15.75">
      <c r="A31" s="627" t="s">
        <v>487</v>
      </c>
      <c r="B31" s="627" t="s">
        <v>488</v>
      </c>
      <c r="C31" s="627">
        <f>4800+4800+3825+737+354+305+500+500+100+100+100</f>
        <v>16121</v>
      </c>
    </row>
    <row r="32" spans="1:5" ht="15.75">
      <c r="A32" s="107"/>
      <c r="B32" s="107"/>
      <c r="C32" s="107"/>
      <c r="D32" s="107"/>
      <c r="E32" s="107"/>
    </row>
    <row r="33" spans="1:5" ht="15.75">
      <c r="A33" s="107"/>
      <c r="B33" s="107"/>
      <c r="C33" s="107"/>
      <c r="D33" s="107"/>
      <c r="E33" s="107"/>
    </row>
    <row r="34" spans="1:5" s="639" customFormat="1" ht="15.75">
      <c r="A34" s="638"/>
      <c r="B34" s="638" t="s">
        <v>493</v>
      </c>
      <c r="C34" s="638"/>
      <c r="D34" s="638"/>
      <c r="E34" s="638">
        <v>111500</v>
      </c>
    </row>
    <row r="35" spans="1:5" ht="15.75">
      <c r="A35" s="107"/>
      <c r="B35" s="107" t="s">
        <v>475</v>
      </c>
      <c r="C35" s="107"/>
      <c r="D35" s="107"/>
      <c r="E35" s="107">
        <v>17300</v>
      </c>
    </row>
    <row r="36" spans="1:5" ht="15.75">
      <c r="A36" s="107"/>
      <c r="B36" s="107" t="s">
        <v>491</v>
      </c>
      <c r="C36" s="107"/>
      <c r="D36" s="107"/>
      <c r="E36" s="107">
        <v>250000</v>
      </c>
    </row>
    <row r="37" spans="1:5" ht="15.75">
      <c r="A37" s="107"/>
      <c r="B37" s="107" t="s">
        <v>490</v>
      </c>
      <c r="C37" s="107"/>
      <c r="D37" s="107"/>
      <c r="E37" s="107">
        <v>180000</v>
      </c>
    </row>
    <row r="38" spans="1:5" ht="15.75">
      <c r="A38" s="107"/>
      <c r="B38" s="107" t="s">
        <v>489</v>
      </c>
      <c r="C38" s="107"/>
      <c r="D38" s="107"/>
      <c r="E38" s="107">
        <v>150000</v>
      </c>
    </row>
    <row r="39" spans="1:5" ht="15.75">
      <c r="A39" s="107"/>
      <c r="B39" s="640" t="s">
        <v>486</v>
      </c>
      <c r="C39" s="627"/>
      <c r="D39" s="627"/>
      <c r="E39" s="627">
        <f>E38+E37+E36+E35-E34</f>
        <v>485800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selection activeCell="A1" sqref="A1:IV16384"/>
    </sheetView>
  </sheetViews>
  <sheetFormatPr defaultColWidth="9.140625" defaultRowHeight="12.75"/>
  <cols>
    <col min="1" max="1" width="7.421875" style="206" customWidth="1"/>
    <col min="2" max="2" width="4.8515625" style="206" customWidth="1"/>
    <col min="3" max="3" width="4.00390625" style="206" customWidth="1"/>
    <col min="4" max="4" width="3.00390625" style="206" customWidth="1"/>
    <col min="5" max="5" width="2.8515625" style="206" customWidth="1"/>
    <col min="6" max="6" width="44.7109375" style="206" customWidth="1"/>
    <col min="7" max="7" width="8.8515625" style="206" customWidth="1"/>
    <col min="8" max="8" width="8.421875" style="206" customWidth="1"/>
    <col min="9" max="9" width="8.57421875" style="467" customWidth="1"/>
    <col min="10" max="16384" width="9.140625" style="206" customWidth="1"/>
  </cols>
  <sheetData>
    <row r="1" spans="7:9" ht="12.75">
      <c r="G1" s="463"/>
      <c r="H1" s="463"/>
      <c r="I1" s="464" t="s">
        <v>436</v>
      </c>
    </row>
    <row r="2" spans="1:8" ht="18.75">
      <c r="A2" s="465" t="s">
        <v>494</v>
      </c>
      <c r="H2" s="466"/>
    </row>
    <row r="3" spans="1:8" ht="14.25" customHeight="1">
      <c r="A3" s="468"/>
      <c r="B3" s="469"/>
      <c r="C3" s="469"/>
      <c r="D3" s="470"/>
      <c r="E3" s="469"/>
      <c r="F3" s="469"/>
      <c r="G3" s="471" t="s">
        <v>375</v>
      </c>
      <c r="H3" s="471"/>
    </row>
    <row r="4" spans="1:8" ht="14.25" customHeight="1">
      <c r="A4" s="468"/>
      <c r="B4" s="469"/>
      <c r="C4" s="469"/>
      <c r="D4" s="470"/>
      <c r="E4" s="469"/>
      <c r="F4" s="469"/>
      <c r="G4" s="471"/>
      <c r="H4" s="471"/>
    </row>
    <row r="5" spans="1:8" ht="14.25" customHeight="1">
      <c r="A5" s="468"/>
      <c r="B5" s="469"/>
      <c r="C5" s="469"/>
      <c r="D5" s="470"/>
      <c r="E5" s="469"/>
      <c r="F5" s="469"/>
      <c r="G5" s="471"/>
      <c r="H5" s="471"/>
    </row>
    <row r="6" spans="1:8" ht="17.25" customHeight="1">
      <c r="A6" s="472" t="s">
        <v>713</v>
      </c>
      <c r="B6" s="473" t="s">
        <v>714</v>
      </c>
      <c r="C6" s="474"/>
      <c r="D6" s="474"/>
      <c r="E6" s="474"/>
      <c r="F6" s="475"/>
      <c r="G6" s="476">
        <v>2003</v>
      </c>
      <c r="H6" s="476">
        <v>2004</v>
      </c>
    </row>
    <row r="7" spans="1:9" ht="15.75">
      <c r="A7" s="477">
        <v>3</v>
      </c>
      <c r="B7" s="478" t="s">
        <v>1</v>
      </c>
      <c r="C7" s="479"/>
      <c r="D7" s="479"/>
      <c r="E7" s="479"/>
      <c r="F7" s="479"/>
      <c r="G7" s="480">
        <f>G8+G12+G39+G55</f>
        <v>9430.5</v>
      </c>
      <c r="H7" s="480">
        <f>H8+H12+H39+H55</f>
        <v>9747.24792</v>
      </c>
      <c r="I7" s="481">
        <f>H7/G7</f>
        <v>1.0335876061714648</v>
      </c>
    </row>
    <row r="8" spans="1:9" s="196" customFormat="1" ht="12.75">
      <c r="A8" s="482">
        <v>30</v>
      </c>
      <c r="B8" s="483" t="s">
        <v>2</v>
      </c>
      <c r="C8" s="483"/>
      <c r="D8" s="483"/>
      <c r="E8" s="483"/>
      <c r="F8" s="483"/>
      <c r="G8" s="484">
        <f>SUM(G9:G11)</f>
        <v>6122</v>
      </c>
      <c r="H8" s="484">
        <f>SUM(H9:H11)</f>
        <v>7088</v>
      </c>
      <c r="I8" s="485">
        <f>H8/G8</f>
        <v>1.1577915713819014</v>
      </c>
    </row>
    <row r="9" spans="1:8" ht="12.75">
      <c r="A9" s="486">
        <v>3000</v>
      </c>
      <c r="B9" s="469"/>
      <c r="C9" s="469" t="s">
        <v>3</v>
      </c>
      <c r="D9" s="469"/>
      <c r="E9" s="469"/>
      <c r="F9" s="469"/>
      <c r="G9" s="487">
        <f>4950+22</f>
        <v>4972</v>
      </c>
      <c r="H9" s="487">
        <f>5911+27</f>
        <v>5938</v>
      </c>
    </row>
    <row r="10" spans="1:8" ht="13.5" thickBot="1">
      <c r="A10" s="486">
        <v>3030</v>
      </c>
      <c r="B10" s="469"/>
      <c r="C10" s="469" t="s">
        <v>4</v>
      </c>
      <c r="D10" s="469"/>
      <c r="E10" s="469"/>
      <c r="F10" s="469"/>
      <c r="G10" s="488">
        <v>1150</v>
      </c>
      <c r="H10" s="488">
        <v>1150</v>
      </c>
    </row>
    <row r="11" spans="1:9" ht="13.5" hidden="1" thickBot="1">
      <c r="A11" s="486" t="s">
        <v>5</v>
      </c>
      <c r="B11" s="469"/>
      <c r="C11" s="469" t="s">
        <v>6</v>
      </c>
      <c r="D11" s="469"/>
      <c r="E11" s="469"/>
      <c r="F11" s="469"/>
      <c r="G11" s="489"/>
      <c r="H11" s="489"/>
      <c r="I11" s="467" t="e">
        <f>H11/G11</f>
        <v>#DIV/0!</v>
      </c>
    </row>
    <row r="12" spans="1:9" s="196" customFormat="1" ht="13.5" thickBot="1">
      <c r="A12" s="490">
        <v>32</v>
      </c>
      <c r="B12" s="491" t="s">
        <v>7</v>
      </c>
      <c r="C12" s="491"/>
      <c r="D12" s="492"/>
      <c r="E12" s="491"/>
      <c r="F12" s="491"/>
      <c r="G12" s="493">
        <f>G13+G14+G34</f>
        <v>756</v>
      </c>
      <c r="H12" s="493">
        <f>H13+H14+H34</f>
        <v>855.74792</v>
      </c>
      <c r="I12" s="485">
        <f>H12/G12</f>
        <v>1.1319416931216932</v>
      </c>
    </row>
    <row r="13" spans="1:8" ht="12.75">
      <c r="A13" s="486">
        <v>320</v>
      </c>
      <c r="B13" s="469"/>
      <c r="C13" s="469" t="s">
        <v>8</v>
      </c>
      <c r="D13" s="469"/>
      <c r="E13" s="469"/>
      <c r="F13" s="469"/>
      <c r="G13" s="494">
        <f>1+10</f>
        <v>11</v>
      </c>
      <c r="H13" s="494">
        <v>17</v>
      </c>
    </row>
    <row r="14" spans="1:8" ht="12.75">
      <c r="A14" s="495">
        <v>322</v>
      </c>
      <c r="B14" s="474"/>
      <c r="C14" s="474" t="s">
        <v>7</v>
      </c>
      <c r="D14" s="474"/>
      <c r="E14" s="474"/>
      <c r="F14" s="474"/>
      <c r="G14" s="487">
        <f>G15+G26+G27+G28+G29+G30</f>
        <v>731</v>
      </c>
      <c r="H14" s="487">
        <f>H15+H26+H27+H28+H29+H30</f>
        <v>822.24792</v>
      </c>
    </row>
    <row r="15" spans="1:8" ht="12.75">
      <c r="A15" s="486">
        <v>3220</v>
      </c>
      <c r="B15" s="469"/>
      <c r="C15" s="469"/>
      <c r="D15" s="469" t="s">
        <v>747</v>
      </c>
      <c r="E15" s="469"/>
      <c r="F15" s="469"/>
      <c r="G15" s="487">
        <f>SUM(G16:G25)</f>
        <v>129</v>
      </c>
      <c r="H15" s="487">
        <f>SUM(H16:H25)</f>
        <v>219.6125</v>
      </c>
    </row>
    <row r="16" spans="1:8" ht="12.75" hidden="1">
      <c r="A16" s="486"/>
      <c r="B16" s="469"/>
      <c r="C16" s="469"/>
      <c r="D16" s="469" t="s">
        <v>716</v>
      </c>
      <c r="E16" s="469"/>
      <c r="F16" s="469"/>
      <c r="G16" s="487">
        <v>20</v>
      </c>
      <c r="H16" s="487">
        <v>20</v>
      </c>
    </row>
    <row r="17" spans="1:8" ht="12.75" hidden="1">
      <c r="A17" s="486"/>
      <c r="B17" s="469"/>
      <c r="C17" s="469"/>
      <c r="D17" s="469" t="s">
        <v>744</v>
      </c>
      <c r="E17" s="469"/>
      <c r="F17" s="469"/>
      <c r="G17" s="487"/>
      <c r="H17" s="487">
        <f>(3.5*175*69)/1000</f>
        <v>42.2625</v>
      </c>
    </row>
    <row r="18" spans="1:8" ht="12" customHeight="1" hidden="1">
      <c r="A18" s="486"/>
      <c r="B18" s="469"/>
      <c r="C18" s="469"/>
      <c r="D18" s="469" t="s">
        <v>717</v>
      </c>
      <c r="E18" s="469"/>
      <c r="F18" s="469"/>
      <c r="G18" s="487">
        <v>22</v>
      </c>
      <c r="H18" s="487">
        <v>22</v>
      </c>
    </row>
    <row r="19" spans="1:8" ht="12" customHeight="1" hidden="1">
      <c r="A19" s="486"/>
      <c r="B19" s="469"/>
      <c r="C19" s="469"/>
      <c r="D19" s="469" t="s">
        <v>745</v>
      </c>
      <c r="E19" s="469"/>
      <c r="F19" s="469"/>
      <c r="G19" s="487"/>
      <c r="H19" s="487">
        <f>(3.5*76*175)/1000</f>
        <v>46.55</v>
      </c>
    </row>
    <row r="20" spans="1:8" ht="12" customHeight="1" hidden="1">
      <c r="A20" s="486"/>
      <c r="B20" s="469"/>
      <c r="C20" s="469"/>
      <c r="D20" s="469" t="s">
        <v>718</v>
      </c>
      <c r="E20" s="469"/>
      <c r="F20" s="469"/>
      <c r="G20" s="487">
        <v>13.6</v>
      </c>
      <c r="H20" s="487">
        <v>15</v>
      </c>
    </row>
    <row r="21" spans="1:8" ht="12" customHeight="1" hidden="1">
      <c r="A21" s="486"/>
      <c r="B21" s="469"/>
      <c r="C21" s="469"/>
      <c r="D21" s="469" t="s">
        <v>719</v>
      </c>
      <c r="E21" s="469"/>
      <c r="F21" s="469"/>
      <c r="G21" s="487">
        <v>4.4</v>
      </c>
      <c r="H21" s="487">
        <f>Haridus!E45/1000</f>
        <v>4</v>
      </c>
    </row>
    <row r="22" spans="1:8" ht="12" customHeight="1" hidden="1">
      <c r="A22" s="486"/>
      <c r="B22" s="469"/>
      <c r="C22" s="469"/>
      <c r="D22" s="469" t="s">
        <v>720</v>
      </c>
      <c r="E22" s="469"/>
      <c r="F22" s="469"/>
      <c r="G22" s="487">
        <v>28</v>
      </c>
      <c r="H22" s="487">
        <f>Haridus!E39/1000</f>
        <v>28</v>
      </c>
    </row>
    <row r="23" spans="1:8" ht="12" customHeight="1" hidden="1">
      <c r="A23" s="486"/>
      <c r="B23" s="469"/>
      <c r="C23" s="469"/>
      <c r="D23" s="469" t="s">
        <v>721</v>
      </c>
      <c r="E23" s="469"/>
      <c r="F23" s="469"/>
      <c r="G23" s="487">
        <v>13</v>
      </c>
      <c r="H23" s="487">
        <v>13.8</v>
      </c>
    </row>
    <row r="24" spans="1:8" ht="12" customHeight="1" hidden="1">
      <c r="A24" s="486"/>
      <c r="B24" s="469"/>
      <c r="C24" s="469"/>
      <c r="D24" s="469" t="s">
        <v>722</v>
      </c>
      <c r="E24" s="469"/>
      <c r="F24" s="469"/>
      <c r="G24" s="487">
        <v>4</v>
      </c>
      <c r="H24" s="487">
        <f>Haridus!F45/1000</f>
        <v>4</v>
      </c>
    </row>
    <row r="25" spans="1:8" ht="12" customHeight="1" hidden="1">
      <c r="A25" s="486"/>
      <c r="B25" s="469"/>
      <c r="C25" s="469"/>
      <c r="D25" s="469" t="s">
        <v>723</v>
      </c>
      <c r="E25" s="469"/>
      <c r="F25" s="469"/>
      <c r="G25" s="487">
        <v>24</v>
      </c>
      <c r="H25" s="487">
        <f>Haridus!F39/1000</f>
        <v>24</v>
      </c>
    </row>
    <row r="26" spans="1:9" s="207" customFormat="1" ht="12.75" hidden="1">
      <c r="A26" s="496" t="s">
        <v>9</v>
      </c>
      <c r="B26" s="497"/>
      <c r="C26" s="497"/>
      <c r="D26" s="498" t="s">
        <v>10</v>
      </c>
      <c r="E26" s="497"/>
      <c r="F26" s="497"/>
      <c r="G26" s="499"/>
      <c r="H26" s="499"/>
      <c r="I26" s="467"/>
    </row>
    <row r="27" spans="1:8" ht="12.75">
      <c r="A27" s="486">
        <v>3222</v>
      </c>
      <c r="B27" s="469"/>
      <c r="C27" s="469"/>
      <c r="D27" s="500" t="s">
        <v>11</v>
      </c>
      <c r="E27" s="469"/>
      <c r="F27" s="469"/>
      <c r="G27" s="487">
        <v>36</v>
      </c>
      <c r="H27" s="487">
        <v>36</v>
      </c>
    </row>
    <row r="28" spans="1:8" ht="12.75" hidden="1">
      <c r="A28" s="486" t="s">
        <v>12</v>
      </c>
      <c r="B28" s="469"/>
      <c r="C28" s="469"/>
      <c r="D28" s="500" t="s">
        <v>13</v>
      </c>
      <c r="E28" s="469"/>
      <c r="F28" s="469"/>
      <c r="G28" s="487">
        <f>3-3</f>
        <v>0</v>
      </c>
      <c r="H28" s="487"/>
    </row>
    <row r="29" spans="1:8" ht="12.75">
      <c r="A29" s="486">
        <v>3224</v>
      </c>
      <c r="B29" s="469"/>
      <c r="C29" s="469"/>
      <c r="D29" s="500" t="s">
        <v>14</v>
      </c>
      <c r="E29" s="469"/>
      <c r="F29" s="469"/>
      <c r="G29" s="487">
        <v>15</v>
      </c>
      <c r="H29" s="487">
        <f>10+5</f>
        <v>15</v>
      </c>
    </row>
    <row r="30" spans="1:8" ht="12.75">
      <c r="A30" s="486">
        <v>3225</v>
      </c>
      <c r="B30" s="469"/>
      <c r="C30" s="469"/>
      <c r="D30" s="500" t="s">
        <v>748</v>
      </c>
      <c r="E30" s="469"/>
      <c r="F30" s="469"/>
      <c r="G30" s="487">
        <f>SUM(G31:G33)</f>
        <v>551</v>
      </c>
      <c r="H30" s="487">
        <f>SUM(H31:H33)</f>
        <v>551.6354200000001</v>
      </c>
    </row>
    <row r="31" spans="1:8" ht="12.75" hidden="1">
      <c r="A31" s="486"/>
      <c r="B31" s="469"/>
      <c r="C31" s="469"/>
      <c r="D31" s="500" t="s">
        <v>725</v>
      </c>
      <c r="E31" s="469"/>
      <c r="F31" s="469"/>
      <c r="G31" s="487">
        <f>160+33-33+33</f>
        <v>193</v>
      </c>
      <c r="H31" s="487">
        <f>MAJANDUS!S3/1000</f>
        <v>199.87333999999998</v>
      </c>
    </row>
    <row r="32" spans="1:8" ht="12.75" hidden="1">
      <c r="A32" s="486"/>
      <c r="D32" s="206" t="s">
        <v>726</v>
      </c>
      <c r="F32" s="501"/>
      <c r="G32" s="502">
        <v>352</v>
      </c>
      <c r="H32" s="502">
        <f>MAJANDUS!L3/1000</f>
        <v>351.76208</v>
      </c>
    </row>
    <row r="33" spans="1:8" ht="12.75" hidden="1">
      <c r="A33" s="503"/>
      <c r="B33" s="504"/>
      <c r="C33" s="504"/>
      <c r="D33" s="504" t="s">
        <v>727</v>
      </c>
      <c r="E33" s="504"/>
      <c r="F33" s="505"/>
      <c r="G33" s="502">
        <v>6</v>
      </c>
      <c r="H33" s="502"/>
    </row>
    <row r="34" spans="1:8" ht="13.5" thickBot="1">
      <c r="A34" s="503">
        <v>323</v>
      </c>
      <c r="B34" s="506"/>
      <c r="C34" s="506" t="s">
        <v>15</v>
      </c>
      <c r="D34" s="507"/>
      <c r="E34" s="506"/>
      <c r="F34" s="506"/>
      <c r="G34" s="494">
        <f>SUM(G35:G38)</f>
        <v>14</v>
      </c>
      <c r="H34" s="494">
        <f>SUM(H35:H38)</f>
        <v>16.5</v>
      </c>
    </row>
    <row r="35" spans="1:8" ht="13.5" hidden="1" thickBot="1">
      <c r="A35" s="486">
        <v>3238</v>
      </c>
      <c r="B35" s="469"/>
      <c r="C35" s="469"/>
      <c r="D35" s="500" t="s">
        <v>16</v>
      </c>
      <c r="E35" s="469"/>
      <c r="F35" s="469"/>
      <c r="G35" s="494">
        <v>1</v>
      </c>
      <c r="H35" s="494">
        <v>1.5</v>
      </c>
    </row>
    <row r="36" spans="1:8" ht="13.5" hidden="1" thickBot="1">
      <c r="A36" s="486" t="s">
        <v>17</v>
      </c>
      <c r="B36" s="469"/>
      <c r="C36" s="469"/>
      <c r="D36" s="500" t="s">
        <v>18</v>
      </c>
      <c r="E36" s="469"/>
      <c r="F36" s="469"/>
      <c r="G36" s="487"/>
      <c r="H36" s="487"/>
    </row>
    <row r="37" spans="1:8" ht="13.5" hidden="1" thickBot="1">
      <c r="A37" s="486" t="s">
        <v>19</v>
      </c>
      <c r="B37" s="469"/>
      <c r="C37" s="469"/>
      <c r="D37" s="500" t="s">
        <v>20</v>
      </c>
      <c r="E37" s="469"/>
      <c r="F37" s="469"/>
      <c r="G37" s="487"/>
      <c r="H37" s="487"/>
    </row>
    <row r="38" spans="1:8" ht="13.5" hidden="1" thickBot="1">
      <c r="A38" s="486">
        <v>3233</v>
      </c>
      <c r="B38" s="469"/>
      <c r="C38" s="469"/>
      <c r="D38" s="500" t="s">
        <v>21</v>
      </c>
      <c r="E38" s="469"/>
      <c r="F38" s="469"/>
      <c r="G38" s="487">
        <f>10+3</f>
        <v>13</v>
      </c>
      <c r="H38" s="487">
        <f>2.4+3.6+6+3</f>
        <v>15</v>
      </c>
    </row>
    <row r="39" spans="1:9" s="196" customFormat="1" ht="13.5" thickBot="1">
      <c r="A39" s="490">
        <v>35</v>
      </c>
      <c r="B39" s="491" t="s">
        <v>25</v>
      </c>
      <c r="C39" s="491"/>
      <c r="D39" s="491"/>
      <c r="E39" s="491"/>
      <c r="F39" s="491"/>
      <c r="G39" s="508">
        <f>G41+G47+G49+G54</f>
        <v>2254</v>
      </c>
      <c r="H39" s="508">
        <f>H41+H47+H49+H54</f>
        <v>1505</v>
      </c>
      <c r="I39" s="485">
        <f>H39/G39</f>
        <v>0.6677018633540373</v>
      </c>
    </row>
    <row r="40" spans="1:9" ht="12.75">
      <c r="A40" s="495" t="s">
        <v>731</v>
      </c>
      <c r="B40" s="474"/>
      <c r="C40" s="474" t="s">
        <v>26</v>
      </c>
      <c r="D40" s="474"/>
      <c r="E40" s="474"/>
      <c r="F40" s="474"/>
      <c r="G40" s="484">
        <f>G41+G47+G49</f>
        <v>2226</v>
      </c>
      <c r="H40" s="484">
        <f>H41+H47+H49</f>
        <v>1475</v>
      </c>
      <c r="I40" s="467">
        <f>H40/G40</f>
        <v>0.6626235399820305</v>
      </c>
    </row>
    <row r="41" spans="1:9" ht="13.5" customHeight="1">
      <c r="A41" s="486"/>
      <c r="B41" s="469"/>
      <c r="C41" s="469"/>
      <c r="D41" s="469" t="s">
        <v>454</v>
      </c>
      <c r="E41" s="469"/>
      <c r="F41" s="469"/>
      <c r="G41" s="484">
        <f>SUM(G43:G46)</f>
        <v>2067</v>
      </c>
      <c r="H41" s="484">
        <f>SUM(H43:H46)</f>
        <v>1316</v>
      </c>
      <c r="I41" s="467">
        <f>H41/G41</f>
        <v>0.6366715045960329</v>
      </c>
    </row>
    <row r="42" spans="1:9" ht="12.75" hidden="1">
      <c r="A42" s="486"/>
      <c r="B42" s="469">
        <v>100</v>
      </c>
      <c r="C42" s="469"/>
      <c r="D42" s="469"/>
      <c r="E42" s="469" t="s">
        <v>27</v>
      </c>
      <c r="F42" s="469"/>
      <c r="G42" s="487"/>
      <c r="H42" s="487"/>
      <c r="I42" s="467" t="e">
        <f>H42/G42</f>
        <v>#DIV/0!</v>
      </c>
    </row>
    <row r="43" spans="1:8" ht="12.75" hidden="1">
      <c r="A43" s="486"/>
      <c r="B43" s="469"/>
      <c r="C43" s="509"/>
      <c r="D43" s="469"/>
      <c r="E43" s="469"/>
      <c r="F43" s="469" t="s">
        <v>28</v>
      </c>
      <c r="G43" s="487">
        <f>551-157-394</f>
        <v>0</v>
      </c>
      <c r="H43" s="487"/>
    </row>
    <row r="44" spans="1:8" ht="12.75" hidden="1">
      <c r="A44" s="486"/>
      <c r="B44" s="469"/>
      <c r="C44" s="509"/>
      <c r="D44" s="469"/>
      <c r="E44" s="469"/>
      <c r="F44" s="469" t="s">
        <v>29</v>
      </c>
      <c r="G44" s="487">
        <f>2471-2471</f>
        <v>0</v>
      </c>
      <c r="H44" s="487"/>
    </row>
    <row r="45" spans="1:9" ht="12.75">
      <c r="A45" s="486"/>
      <c r="B45" s="469"/>
      <c r="C45" s="509"/>
      <c r="D45" s="469"/>
      <c r="E45" s="469"/>
      <c r="F45" s="510" t="s">
        <v>30</v>
      </c>
      <c r="G45" s="487">
        <f>171-6</f>
        <v>165</v>
      </c>
      <c r="H45" s="487">
        <v>157</v>
      </c>
      <c r="I45" s="467">
        <f>H45/G45</f>
        <v>0.9515151515151515</v>
      </c>
    </row>
    <row r="46" spans="1:9" ht="12.75">
      <c r="A46" s="486"/>
      <c r="B46" s="469"/>
      <c r="C46" s="469"/>
      <c r="D46" s="469"/>
      <c r="E46" s="469"/>
      <c r="F46" s="469" t="s">
        <v>444</v>
      </c>
      <c r="G46" s="487">
        <v>1902</v>
      </c>
      <c r="H46" s="487">
        <v>1159</v>
      </c>
      <c r="I46" s="467">
        <f>H46/G46</f>
        <v>0.6093585699263933</v>
      </c>
    </row>
    <row r="47" spans="1:8" ht="12.75">
      <c r="A47" s="486"/>
      <c r="B47" s="469"/>
      <c r="C47" s="469"/>
      <c r="D47" s="469" t="s">
        <v>455</v>
      </c>
      <c r="E47" s="469"/>
      <c r="F47" s="469"/>
      <c r="G47" s="484">
        <f>SUM(G48)</f>
        <v>159</v>
      </c>
      <c r="H47" s="484">
        <f>SUM(H48)</f>
        <v>159</v>
      </c>
    </row>
    <row r="48" spans="1:8" ht="12.75">
      <c r="A48" s="486"/>
      <c r="B48" s="469"/>
      <c r="C48" s="509"/>
      <c r="D48" s="469"/>
      <c r="E48" s="469"/>
      <c r="F48" s="469" t="s">
        <v>31</v>
      </c>
      <c r="G48" s="487">
        <f>159</f>
        <v>159</v>
      </c>
      <c r="H48" s="487">
        <v>159</v>
      </c>
    </row>
    <row r="49" spans="1:8" ht="12.75" hidden="1">
      <c r="A49" s="486"/>
      <c r="B49" s="469"/>
      <c r="C49" s="469"/>
      <c r="D49" s="469" t="s">
        <v>36</v>
      </c>
      <c r="E49" s="469"/>
      <c r="F49" s="469"/>
      <c r="G49" s="484">
        <f>SUM(G50:G53)</f>
        <v>0</v>
      </c>
      <c r="H49" s="484">
        <f>SUM(H50:H53)</f>
        <v>0</v>
      </c>
    </row>
    <row r="50" spans="1:8" ht="12.75" hidden="1">
      <c r="A50" s="486"/>
      <c r="B50" s="469"/>
      <c r="C50" s="469"/>
      <c r="D50" s="469"/>
      <c r="E50" s="469" t="s">
        <v>33</v>
      </c>
      <c r="F50" s="469"/>
      <c r="G50" s="487">
        <f>500-500</f>
        <v>0</v>
      </c>
      <c r="H50" s="487"/>
    </row>
    <row r="51" spans="1:8" ht="12.75" hidden="1">
      <c r="A51" s="486"/>
      <c r="B51" s="469"/>
      <c r="C51" s="469"/>
      <c r="D51" s="469"/>
      <c r="E51" s="469" t="s">
        <v>34</v>
      </c>
      <c r="F51" s="469"/>
      <c r="G51" s="487">
        <f>126-126</f>
        <v>0</v>
      </c>
      <c r="H51" s="487"/>
    </row>
    <row r="52" spans="1:8" ht="12" customHeight="1" hidden="1">
      <c r="A52" s="486"/>
      <c r="B52" s="469"/>
      <c r="C52" s="469"/>
      <c r="D52" s="469"/>
      <c r="E52" s="469" t="s">
        <v>35</v>
      </c>
      <c r="F52" s="469"/>
      <c r="G52" s="487">
        <f>150-150</f>
        <v>0</v>
      </c>
      <c r="H52" s="487"/>
    </row>
    <row r="53" spans="1:8" ht="12.75" hidden="1">
      <c r="A53" s="468"/>
      <c r="B53" s="469"/>
      <c r="C53" s="469"/>
      <c r="D53" s="469"/>
      <c r="E53" s="469" t="s">
        <v>32</v>
      </c>
      <c r="F53" s="469"/>
      <c r="G53" s="487">
        <f>416-416</f>
        <v>0</v>
      </c>
      <c r="H53" s="487"/>
    </row>
    <row r="54" spans="1:9" ht="13.5" thickBot="1">
      <c r="A54" s="468" t="s">
        <v>730</v>
      </c>
      <c r="B54" s="469"/>
      <c r="C54" s="469" t="s">
        <v>37</v>
      </c>
      <c r="D54" s="469"/>
      <c r="E54" s="469"/>
      <c r="F54" s="469"/>
      <c r="G54" s="511">
        <v>28</v>
      </c>
      <c r="H54" s="511">
        <v>30</v>
      </c>
      <c r="I54" s="467">
        <f>H54/G54</f>
        <v>1.0714285714285714</v>
      </c>
    </row>
    <row r="55" spans="1:9" s="196" customFormat="1" ht="13.5" thickBot="1">
      <c r="A55" s="490">
        <v>38</v>
      </c>
      <c r="B55" s="491" t="s">
        <v>38</v>
      </c>
      <c r="C55" s="491"/>
      <c r="D55" s="492"/>
      <c r="E55" s="491"/>
      <c r="F55" s="491"/>
      <c r="G55" s="508">
        <f>G56+G57+G62</f>
        <v>298.5</v>
      </c>
      <c r="H55" s="508">
        <f>H56+H57+H62</f>
        <v>298.5</v>
      </c>
      <c r="I55" s="485">
        <f>H55/G55</f>
        <v>1</v>
      </c>
    </row>
    <row r="56" spans="1:8" ht="13.5" thickBot="1">
      <c r="A56" s="486">
        <v>381</v>
      </c>
      <c r="B56" s="512"/>
      <c r="C56" s="469" t="s">
        <v>728</v>
      </c>
      <c r="D56" s="469"/>
      <c r="E56" s="469"/>
      <c r="F56" s="469"/>
      <c r="G56" s="494">
        <f>100+11.5</f>
        <v>111.5</v>
      </c>
      <c r="H56" s="494">
        <v>120</v>
      </c>
    </row>
    <row r="57" spans="1:8" ht="13.5" thickBot="1">
      <c r="A57" s="513">
        <v>382</v>
      </c>
      <c r="B57" s="514"/>
      <c r="C57" s="512" t="s">
        <v>22</v>
      </c>
      <c r="D57" s="512"/>
      <c r="E57" s="512"/>
      <c r="F57" s="512"/>
      <c r="G57" s="515">
        <f>G58</f>
        <v>23</v>
      </c>
      <c r="H57" s="515">
        <f>H58</f>
        <v>103</v>
      </c>
    </row>
    <row r="58" spans="1:8" ht="12.75">
      <c r="A58" s="495">
        <v>3825</v>
      </c>
      <c r="B58" s="474"/>
      <c r="C58" s="474" t="s">
        <v>749</v>
      </c>
      <c r="D58" s="475"/>
      <c r="E58" s="474"/>
      <c r="F58" s="474"/>
      <c r="G58" s="487">
        <f>SUM(G59:G61)</f>
        <v>23</v>
      </c>
      <c r="H58" s="487">
        <f>SUM(H59:H61)</f>
        <v>103</v>
      </c>
    </row>
    <row r="59" spans="1:8" ht="12.75" hidden="1">
      <c r="A59" s="486"/>
      <c r="B59" s="469"/>
      <c r="C59" s="469"/>
      <c r="D59" s="500" t="s">
        <v>577</v>
      </c>
      <c r="E59" s="469"/>
      <c r="F59" s="469"/>
      <c r="G59" s="487"/>
      <c r="H59" s="487">
        <v>80</v>
      </c>
    </row>
    <row r="60" spans="1:8" ht="12.75" hidden="1">
      <c r="A60" s="486"/>
      <c r="B60" s="469"/>
      <c r="C60" s="469"/>
      <c r="D60" s="500" t="s">
        <v>23</v>
      </c>
      <c r="E60" s="469"/>
      <c r="F60" s="469"/>
      <c r="G60" s="511">
        <v>20</v>
      </c>
      <c r="H60" s="511">
        <v>20</v>
      </c>
    </row>
    <row r="61" spans="1:8" ht="12.75" hidden="1">
      <c r="A61" s="486"/>
      <c r="B61" s="469"/>
      <c r="C61" s="469"/>
      <c r="D61" s="469" t="s">
        <v>24</v>
      </c>
      <c r="E61" s="469"/>
      <c r="F61" s="469"/>
      <c r="G61" s="487">
        <v>3</v>
      </c>
      <c r="H61" s="487">
        <v>3</v>
      </c>
    </row>
    <row r="62" spans="1:9" s="196" customFormat="1" ht="13.5" thickBot="1">
      <c r="A62" s="516">
        <v>388</v>
      </c>
      <c r="B62" s="517" t="s">
        <v>38</v>
      </c>
      <c r="C62" s="517"/>
      <c r="D62" s="517"/>
      <c r="E62" s="517"/>
      <c r="F62" s="517"/>
      <c r="G62" s="518">
        <f>SUM(G63:G63)</f>
        <v>164</v>
      </c>
      <c r="H62" s="518">
        <f>SUM(H63:H63)</f>
        <v>75.5</v>
      </c>
      <c r="I62" s="485">
        <f>H62/G62</f>
        <v>0.4603658536585366</v>
      </c>
    </row>
    <row r="63" spans="1:9" ht="13.5" customHeight="1">
      <c r="A63" s="486">
        <v>3888</v>
      </c>
      <c r="B63" s="469"/>
      <c r="C63" s="469" t="s">
        <v>39</v>
      </c>
      <c r="D63" s="500"/>
      <c r="E63" s="469"/>
      <c r="F63" s="469"/>
      <c r="G63" s="511">
        <f>64.5+11+34.5+20+30+4</f>
        <v>164</v>
      </c>
      <c r="H63" s="511">
        <v>75.5</v>
      </c>
      <c r="I63" s="467">
        <f>H63/G63</f>
        <v>0.4603658536585366</v>
      </c>
    </row>
    <row r="64" spans="1:8" ht="12.75">
      <c r="A64" s="208"/>
      <c r="B64" s="208"/>
      <c r="C64" s="208"/>
      <c r="D64" s="208"/>
      <c r="E64" s="208"/>
      <c r="F64" s="208"/>
      <c r="G64" s="208"/>
      <c r="H64" s="208"/>
    </row>
  </sheetData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02"/>
  <sheetViews>
    <sheetView workbookViewId="0" topLeftCell="A1">
      <selection activeCell="A1" sqref="A1:IV16384"/>
    </sheetView>
  </sheetViews>
  <sheetFormatPr defaultColWidth="9.140625" defaultRowHeight="12.75"/>
  <cols>
    <col min="1" max="1" width="8.00390625" style="63" customWidth="1"/>
    <col min="2" max="2" width="4.8515625" style="63" customWidth="1"/>
    <col min="3" max="4" width="4.421875" style="63" customWidth="1"/>
    <col min="5" max="5" width="18.421875" style="63" customWidth="1"/>
    <col min="6" max="6" width="11.421875" style="63" customWidth="1"/>
    <col min="7" max="7" width="7.00390625" style="63" bestFit="1" customWidth="1"/>
    <col min="8" max="8" width="8.7109375" style="63" customWidth="1"/>
    <col min="9" max="9" width="12.00390625" style="63" hidden="1" customWidth="1"/>
    <col min="10" max="10" width="10.8515625" style="63" bestFit="1" customWidth="1"/>
    <col min="11" max="11" width="7.7109375" style="63" customWidth="1"/>
    <col min="12" max="12" width="5.8515625" style="397" bestFit="1" customWidth="1"/>
    <col min="13" max="13" width="5.00390625" style="63" bestFit="1" customWidth="1"/>
    <col min="14" max="14" width="4.421875" style="63" bestFit="1" customWidth="1"/>
    <col min="15" max="15" width="5.28125" style="63" bestFit="1" customWidth="1"/>
    <col min="16" max="16" width="5.7109375" style="63" bestFit="1" customWidth="1"/>
    <col min="17" max="17" width="4.421875" style="63" bestFit="1" customWidth="1"/>
    <col min="18" max="18" width="5.421875" style="63" bestFit="1" customWidth="1"/>
    <col min="19" max="16384" width="9.140625" style="63" customWidth="1"/>
  </cols>
  <sheetData>
    <row r="1" spans="1:11" ht="18.75">
      <c r="A1" s="336" t="s">
        <v>494</v>
      </c>
      <c r="G1" s="106">
        <v>2003</v>
      </c>
      <c r="H1" s="396"/>
      <c r="J1" s="106">
        <v>2004</v>
      </c>
      <c r="K1" s="396" t="s">
        <v>436</v>
      </c>
    </row>
    <row r="2" ht="3.75" customHeight="1"/>
    <row r="3" spans="2:13" ht="12" customHeight="1" thickBot="1">
      <c r="B3" s="398" t="s">
        <v>442</v>
      </c>
      <c r="F3" s="399" t="s">
        <v>443</v>
      </c>
      <c r="H3" s="63" t="s">
        <v>576</v>
      </c>
      <c r="K3" s="399" t="s">
        <v>376</v>
      </c>
      <c r="M3" s="63" t="s">
        <v>761</v>
      </c>
    </row>
    <row r="4" spans="1:16" ht="13.5" thickBot="1">
      <c r="A4" s="400" t="s">
        <v>651</v>
      </c>
      <c r="B4" s="108" t="s">
        <v>743</v>
      </c>
      <c r="C4" s="401"/>
      <c r="D4" s="402"/>
      <c r="E4" s="401"/>
      <c r="F4" s="401"/>
      <c r="G4" s="82">
        <f>G5+G14+G24+G28+G32+G34+G49+G70</f>
        <v>12626.419000000002</v>
      </c>
      <c r="H4" s="82">
        <f>H5+H14+H24+H28+H32+H34+H49+H70</f>
        <v>3785.8859999999995</v>
      </c>
      <c r="I4" s="82">
        <f>I5+I14+I24+I28+I32+I34+I49+I70</f>
        <v>0</v>
      </c>
      <c r="J4" s="681">
        <f>J5+J14+J24+J28+J32+J34+J49+J70</f>
        <v>13568.981600000001</v>
      </c>
      <c r="K4" s="642">
        <f>K5+K14+K24+K28+K32+K34+K49+K70</f>
        <v>4283.227350000001</v>
      </c>
      <c r="L4" s="437">
        <f>J4/G4</f>
        <v>1.0746500333942663</v>
      </c>
      <c r="O4" s="403"/>
      <c r="P4" s="403"/>
    </row>
    <row r="5" spans="1:18" s="407" customFormat="1" ht="12" thickBot="1">
      <c r="A5" s="400" t="s">
        <v>650</v>
      </c>
      <c r="B5" s="401" t="s">
        <v>96</v>
      </c>
      <c r="C5" s="401"/>
      <c r="D5" s="404"/>
      <c r="E5" s="404"/>
      <c r="F5" s="405"/>
      <c r="G5" s="342">
        <f>SUM(G6:G13)</f>
        <v>2097.6899999999996</v>
      </c>
      <c r="H5" s="338">
        <f>SUM(H6:H13)</f>
        <v>792.4000000000001</v>
      </c>
      <c r="I5" s="338">
        <f>SUM(I6:I13)</f>
        <v>0</v>
      </c>
      <c r="J5" s="338">
        <f>SUM(J6:J13)</f>
        <v>2159.686015</v>
      </c>
      <c r="K5" s="338">
        <f>SUM(K6:K13)</f>
        <v>875.272725</v>
      </c>
      <c r="L5" s="406">
        <f>J5/G5</f>
        <v>1.0295544217687078</v>
      </c>
      <c r="M5" s="60"/>
      <c r="O5" s="408"/>
      <c r="P5" s="408"/>
      <c r="R5" s="408"/>
    </row>
    <row r="6" spans="1:13" ht="11.25">
      <c r="A6" s="376" t="s">
        <v>656</v>
      </c>
      <c r="B6" s="377" t="s">
        <v>66</v>
      </c>
      <c r="C6" s="377"/>
      <c r="D6" s="392"/>
      <c r="E6" s="392"/>
      <c r="F6" s="392"/>
      <c r="G6" s="341">
        <v>53</v>
      </c>
      <c r="H6" s="409">
        <v>32</v>
      </c>
      <c r="I6" s="410"/>
      <c r="J6" s="341">
        <f>Ü!F4/1000</f>
        <v>53.74</v>
      </c>
      <c r="K6" s="409">
        <f>Ü!F5/1000</f>
        <v>32.04</v>
      </c>
      <c r="L6" s="411"/>
      <c r="M6" s="412"/>
    </row>
    <row r="7" spans="1:13" ht="11.25">
      <c r="A7" s="376" t="s">
        <v>657</v>
      </c>
      <c r="B7" s="377" t="s">
        <v>67</v>
      </c>
      <c r="C7" s="377"/>
      <c r="D7" s="392"/>
      <c r="E7" s="392"/>
      <c r="F7" s="392"/>
      <c r="G7" s="340">
        <f>615-12-17.6+17.6</f>
        <v>603</v>
      </c>
      <c r="H7" s="413">
        <v>429.8</v>
      </c>
      <c r="I7" s="414"/>
      <c r="J7" s="340">
        <f>Ü!E4/1000</f>
        <v>692.952025</v>
      </c>
      <c r="K7" s="413">
        <f>Ü!E5/1000</f>
        <v>479.552025</v>
      </c>
      <c r="L7" s="411"/>
      <c r="M7" s="412"/>
    </row>
    <row r="8" spans="1:13" ht="11.25">
      <c r="A8" s="376" t="s">
        <v>660</v>
      </c>
      <c r="B8" s="377" t="s">
        <v>439</v>
      </c>
      <c r="C8" s="377"/>
      <c r="D8" s="392"/>
      <c r="E8" s="392"/>
      <c r="F8" s="392"/>
      <c r="G8" s="340">
        <f>121-32.5-7</f>
        <v>81.5</v>
      </c>
      <c r="H8" s="413">
        <f>48-7</f>
        <v>41</v>
      </c>
      <c r="I8" s="414"/>
      <c r="J8" s="340">
        <f>Ü!I4/1000</f>
        <v>109.3052</v>
      </c>
      <c r="K8" s="413">
        <f>Ü!I5/1000</f>
        <v>36.2052</v>
      </c>
      <c r="L8" s="411"/>
      <c r="M8" s="412"/>
    </row>
    <row r="9" spans="1:13" ht="11.25">
      <c r="A9" s="376" t="s">
        <v>660</v>
      </c>
      <c r="B9" s="377" t="s">
        <v>65</v>
      </c>
      <c r="C9" s="377"/>
      <c r="D9" s="392"/>
      <c r="E9" s="392"/>
      <c r="F9" s="392"/>
      <c r="G9" s="340">
        <f>97.24-0.899</f>
        <v>96.341</v>
      </c>
      <c r="H9" s="415"/>
      <c r="I9" s="416"/>
      <c r="J9" s="340">
        <f>Ü!K4/1000</f>
        <v>100</v>
      </c>
      <c r="K9" s="415"/>
      <c r="L9" s="411"/>
      <c r="M9" s="412"/>
    </row>
    <row r="10" spans="1:13" ht="11.25">
      <c r="A10" s="376" t="s">
        <v>660</v>
      </c>
      <c r="B10" s="377" t="s">
        <v>438</v>
      </c>
      <c r="C10" s="377"/>
      <c r="D10" s="392"/>
      <c r="E10" s="392"/>
      <c r="F10" s="392"/>
      <c r="G10" s="340">
        <v>318</v>
      </c>
      <c r="H10" s="413">
        <v>289.6</v>
      </c>
      <c r="I10" s="414"/>
      <c r="J10" s="340">
        <f>Ü!H4/1000</f>
        <v>351.1755</v>
      </c>
      <c r="K10" s="413">
        <f>Ü!H5/1000</f>
        <v>327.4755</v>
      </c>
      <c r="L10" s="411"/>
      <c r="M10" s="412"/>
    </row>
    <row r="11" spans="1:13" ht="11.25">
      <c r="A11" s="376" t="s">
        <v>659</v>
      </c>
      <c r="B11" s="377" t="s">
        <v>112</v>
      </c>
      <c r="C11" s="377"/>
      <c r="D11" s="392"/>
      <c r="E11" s="392"/>
      <c r="F11" s="392"/>
      <c r="G11" s="340">
        <f>79.5+34.5</f>
        <v>114</v>
      </c>
      <c r="H11" s="413"/>
      <c r="I11" s="414"/>
      <c r="J11" s="340">
        <f>Ü!J4/1000</f>
        <v>94</v>
      </c>
      <c r="K11" s="413"/>
      <c r="L11" s="411"/>
      <c r="M11" s="412"/>
    </row>
    <row r="12" spans="1:13" ht="11.25">
      <c r="A12" s="390" t="s">
        <v>658</v>
      </c>
      <c r="B12" s="377" t="s">
        <v>453</v>
      </c>
      <c r="C12" s="377"/>
      <c r="D12" s="392"/>
      <c r="E12" s="392"/>
      <c r="F12" s="392"/>
      <c r="G12" s="340">
        <f>G79</f>
        <v>129.849</v>
      </c>
      <c r="H12" s="413"/>
      <c r="I12" s="414"/>
      <c r="J12" s="340">
        <f>J79</f>
        <v>67.51329</v>
      </c>
      <c r="K12" s="413"/>
      <c r="L12" s="411"/>
      <c r="M12" s="412"/>
    </row>
    <row r="13" spans="1:13" ht="12" thickBot="1">
      <c r="A13" s="417"/>
      <c r="B13" s="418" t="s">
        <v>661</v>
      </c>
      <c r="C13" s="418"/>
      <c r="D13" s="419"/>
      <c r="E13" s="418"/>
      <c r="F13" s="418"/>
      <c r="G13" s="343">
        <v>702</v>
      </c>
      <c r="H13" s="344"/>
      <c r="I13" s="345">
        <f>SUM(I14:I15)</f>
        <v>0</v>
      </c>
      <c r="J13" s="343">
        <v>691</v>
      </c>
      <c r="K13" s="344"/>
      <c r="L13" s="411"/>
      <c r="M13" s="412"/>
    </row>
    <row r="14" spans="1:18" s="407" customFormat="1" ht="12" thickBot="1">
      <c r="A14" s="400" t="s">
        <v>652</v>
      </c>
      <c r="B14" s="401" t="s">
        <v>97</v>
      </c>
      <c r="C14" s="404"/>
      <c r="D14" s="404"/>
      <c r="E14" s="404"/>
      <c r="F14" s="405"/>
      <c r="G14" s="339">
        <f>SUM(G15:G23)</f>
        <v>1184</v>
      </c>
      <c r="H14" s="420">
        <f>SUM(H15:H23)</f>
        <v>714.6</v>
      </c>
      <c r="I14" s="421">
        <f>SUM(I15:I23)</f>
        <v>0</v>
      </c>
      <c r="J14" s="339">
        <f>SUM(J15:J22)</f>
        <v>1156.6040799999998</v>
      </c>
      <c r="K14" s="339">
        <f>SUM(K15:K23)</f>
        <v>566.1040800000001</v>
      </c>
      <c r="L14" s="422">
        <f>J14/G14</f>
        <v>0.976861554054054</v>
      </c>
      <c r="M14" s="60"/>
      <c r="N14" s="408"/>
      <c r="O14" s="422"/>
      <c r="P14" s="408"/>
      <c r="R14" s="408"/>
    </row>
    <row r="15" spans="1:13" ht="11.25">
      <c r="A15" s="376" t="s">
        <v>662</v>
      </c>
      <c r="B15" s="377" t="s">
        <v>258</v>
      </c>
      <c r="C15" s="392"/>
      <c r="D15" s="392"/>
      <c r="E15" s="392"/>
      <c r="F15" s="423"/>
      <c r="G15" s="218">
        <v>313</v>
      </c>
      <c r="H15" s="247">
        <v>231.8</v>
      </c>
      <c r="I15" s="424"/>
      <c r="J15" s="218">
        <f>MAJANDUS!E3/1000</f>
        <v>234.9525</v>
      </c>
      <c r="K15" s="216">
        <f>MAJANDUS!E4/1000</f>
        <v>95.4525</v>
      </c>
      <c r="L15" s="411"/>
      <c r="M15" s="412"/>
    </row>
    <row r="16" spans="1:13" ht="11.25">
      <c r="A16" s="376" t="s">
        <v>663</v>
      </c>
      <c r="B16" s="377" t="s">
        <v>634</v>
      </c>
      <c r="C16" s="392"/>
      <c r="D16" s="392"/>
      <c r="E16" s="392"/>
      <c r="F16" s="423"/>
      <c r="G16" s="216"/>
      <c r="H16" s="247"/>
      <c r="I16" s="424"/>
      <c r="J16" s="216">
        <f>MAJANDUS!F3/1000</f>
        <v>118.4525</v>
      </c>
      <c r="K16" s="216">
        <f>MAJANDUS!F4/1000</f>
        <v>95.4525</v>
      </c>
      <c r="L16" s="411"/>
      <c r="M16" s="412"/>
    </row>
    <row r="17" spans="1:13" ht="11.25">
      <c r="A17" s="376" t="s">
        <v>664</v>
      </c>
      <c r="B17" s="377" t="s">
        <v>267</v>
      </c>
      <c r="C17" s="392"/>
      <c r="D17" s="392"/>
      <c r="E17" s="392"/>
      <c r="F17" s="423"/>
      <c r="G17" s="218">
        <v>479</v>
      </c>
      <c r="H17" s="247">
        <v>359.3</v>
      </c>
      <c r="I17" s="424"/>
      <c r="J17" s="218">
        <f>MAJANDUS!L3/1000</f>
        <v>351.76208</v>
      </c>
      <c r="K17" s="216">
        <f>MAJANDUS!L4/1000</f>
        <v>238.76208000000003</v>
      </c>
      <c r="L17" s="411"/>
      <c r="M17" s="412"/>
    </row>
    <row r="18" spans="1:13" ht="11.25">
      <c r="A18" s="376" t="s">
        <v>667</v>
      </c>
      <c r="B18" s="377" t="s">
        <v>461</v>
      </c>
      <c r="C18" s="392"/>
      <c r="D18" s="392"/>
      <c r="E18" s="392"/>
      <c r="F18" s="423"/>
      <c r="G18" s="218">
        <v>30</v>
      </c>
      <c r="H18" s="247"/>
      <c r="I18" s="424"/>
      <c r="J18" s="218">
        <f>MAJANDUS!K3/1000</f>
        <v>28.35</v>
      </c>
      <c r="K18" s="216">
        <f>MAJANDUS!K4/1000</f>
        <v>13.35</v>
      </c>
      <c r="L18" s="411"/>
      <c r="M18" s="412"/>
    </row>
    <row r="19" spans="1:13" ht="11.25">
      <c r="A19" s="376" t="s">
        <v>667</v>
      </c>
      <c r="B19" s="377" t="s">
        <v>70</v>
      </c>
      <c r="C19" s="392"/>
      <c r="D19" s="392"/>
      <c r="E19" s="392"/>
      <c r="F19" s="423"/>
      <c r="G19" s="218">
        <f>59+150-150</f>
        <v>59</v>
      </c>
      <c r="H19" s="247">
        <v>9</v>
      </c>
      <c r="I19" s="424"/>
      <c r="J19" s="218">
        <f>MAJANDUS!J3/1000</f>
        <v>62.675</v>
      </c>
      <c r="K19" s="216">
        <f>MAJANDUS!J4/1000</f>
        <v>6.675</v>
      </c>
      <c r="L19" s="411"/>
      <c r="M19" s="412"/>
    </row>
    <row r="20" spans="1:13" ht="11.25">
      <c r="A20" s="376" t="s">
        <v>665</v>
      </c>
      <c r="B20" s="377" t="s">
        <v>139</v>
      </c>
      <c r="C20" s="392"/>
      <c r="D20" s="392"/>
      <c r="E20" s="392"/>
      <c r="F20" s="423"/>
      <c r="G20" s="218">
        <v>12</v>
      </c>
      <c r="H20" s="247"/>
      <c r="I20" s="424"/>
      <c r="J20" s="218">
        <f>MAJANDUS!M3/1000</f>
        <v>12</v>
      </c>
      <c r="K20" s="216"/>
      <c r="L20" s="411"/>
      <c r="M20" s="412"/>
    </row>
    <row r="21" spans="1:13" ht="11.25">
      <c r="A21" s="376" t="s">
        <v>668</v>
      </c>
      <c r="B21" s="377" t="s">
        <v>635</v>
      </c>
      <c r="C21" s="392"/>
      <c r="D21" s="392"/>
      <c r="E21" s="392"/>
      <c r="F21" s="423"/>
      <c r="G21" s="216">
        <f>70+80</f>
        <v>150</v>
      </c>
      <c r="H21" s="247"/>
      <c r="I21" s="424"/>
      <c r="J21" s="216">
        <f>MAJANDUS!I3/1000+MAJANDUS!H3/1000</f>
        <v>200</v>
      </c>
      <c r="K21" s="216"/>
      <c r="L21" s="411"/>
      <c r="M21" s="412"/>
    </row>
    <row r="22" spans="1:13" ht="12" thickBot="1">
      <c r="A22" s="376" t="s">
        <v>666</v>
      </c>
      <c r="B22" s="377" t="s">
        <v>143</v>
      </c>
      <c r="C22" s="392"/>
      <c r="D22" s="392"/>
      <c r="E22" s="392"/>
      <c r="F22" s="423"/>
      <c r="G22" s="218">
        <v>141</v>
      </c>
      <c r="H22" s="247">
        <v>114.5</v>
      </c>
      <c r="I22" s="424"/>
      <c r="J22" s="218">
        <f>MAJANDUS!G3/1000</f>
        <v>148.412</v>
      </c>
      <c r="K22" s="216">
        <f>MAJANDUS!G4/1000</f>
        <v>116.412</v>
      </c>
      <c r="L22" s="411"/>
      <c r="M22" s="412"/>
    </row>
    <row r="23" spans="1:13" ht="12" hidden="1" thickBot="1">
      <c r="A23" s="376"/>
      <c r="B23" s="377" t="s">
        <v>268</v>
      </c>
      <c r="C23" s="392"/>
      <c r="D23" s="392"/>
      <c r="E23" s="392"/>
      <c r="F23" s="423"/>
      <c r="G23" s="216"/>
      <c r="H23" s="247"/>
      <c r="I23" s="424"/>
      <c r="J23" s="216"/>
      <c r="K23" s="425"/>
      <c r="L23" s="397" t="e">
        <f>J23/G23</f>
        <v>#DIV/0!</v>
      </c>
      <c r="M23" s="60"/>
    </row>
    <row r="24" spans="1:13" ht="12" thickBot="1">
      <c r="A24" s="400" t="s">
        <v>669</v>
      </c>
      <c r="B24" s="401" t="s">
        <v>71</v>
      </c>
      <c r="C24" s="426"/>
      <c r="D24" s="426"/>
      <c r="E24" s="426"/>
      <c r="F24" s="427"/>
      <c r="G24" s="217">
        <f>SUM(G25:G27)</f>
        <v>151</v>
      </c>
      <c r="H24" s="245">
        <f>SUM(H25:H27)</f>
        <v>21.6</v>
      </c>
      <c r="I24" s="67">
        <f>SUM(I25:I27)</f>
        <v>0</v>
      </c>
      <c r="J24" s="217">
        <f>SUM(J25:J27)</f>
        <v>207.4</v>
      </c>
      <c r="K24" s="217">
        <f>SUM(K25:K27)</f>
        <v>53.4</v>
      </c>
      <c r="L24" s="406">
        <f>J24/G24</f>
        <v>1.3735099337748344</v>
      </c>
      <c r="M24" s="60"/>
    </row>
    <row r="25" spans="1:13" ht="11.25">
      <c r="A25" s="376" t="s">
        <v>670</v>
      </c>
      <c r="B25" s="377" t="s">
        <v>245</v>
      </c>
      <c r="C25" s="392"/>
      <c r="D25" s="392"/>
      <c r="E25" s="392"/>
      <c r="F25" s="423"/>
      <c r="G25" s="218">
        <v>4</v>
      </c>
      <c r="H25" s="247"/>
      <c r="I25" s="424"/>
      <c r="J25" s="218">
        <f>MAJANDUS!O3/1000</f>
        <v>6</v>
      </c>
      <c r="K25" s="216"/>
      <c r="L25" s="411"/>
      <c r="M25" s="60"/>
    </row>
    <row r="26" spans="1:13" ht="11.25">
      <c r="A26" s="376" t="s">
        <v>671</v>
      </c>
      <c r="B26" s="391" t="s">
        <v>247</v>
      </c>
      <c r="C26" s="392"/>
      <c r="D26" s="392"/>
      <c r="E26" s="392"/>
      <c r="F26" s="423"/>
      <c r="G26" s="218">
        <f>47+28-28</f>
        <v>47</v>
      </c>
      <c r="H26" s="247">
        <v>21.6</v>
      </c>
      <c r="I26" s="424"/>
      <c r="J26" s="218">
        <f>MAJANDUS!P3/1000</f>
        <v>101.4</v>
      </c>
      <c r="K26" s="216">
        <f>MAJANDUS!P4/1000</f>
        <v>53.4</v>
      </c>
      <c r="L26" s="411"/>
      <c r="M26" s="60"/>
    </row>
    <row r="27" spans="1:13" ht="12" thickBot="1">
      <c r="A27" s="428" t="s">
        <v>672</v>
      </c>
      <c r="B27" s="429" t="s">
        <v>419</v>
      </c>
      <c r="C27" s="430"/>
      <c r="D27" s="430"/>
      <c r="E27" s="430"/>
      <c r="F27" s="431"/>
      <c r="G27" s="219">
        <v>100</v>
      </c>
      <c r="H27" s="432"/>
      <c r="I27" s="433"/>
      <c r="J27" s="219">
        <f>MAJANDUS!Q3/1000</f>
        <v>100</v>
      </c>
      <c r="K27" s="66"/>
      <c r="L27" s="411"/>
      <c r="M27" s="60"/>
    </row>
    <row r="28" spans="1:13" ht="12" thickBot="1">
      <c r="A28" s="400" t="s">
        <v>673</v>
      </c>
      <c r="B28" s="401" t="s">
        <v>72</v>
      </c>
      <c r="C28" s="426"/>
      <c r="D28" s="426"/>
      <c r="E28" s="426"/>
      <c r="F28" s="427"/>
      <c r="G28" s="217">
        <f>SUM(G29:G31)</f>
        <v>277.6</v>
      </c>
      <c r="H28" s="245">
        <f>SUM(H29:H31)</f>
        <v>151.3</v>
      </c>
      <c r="I28" s="67">
        <f>SUM(I29:I31)</f>
        <v>0</v>
      </c>
      <c r="J28" s="217">
        <f>SUM(J29:J31)</f>
        <v>284.61294</v>
      </c>
      <c r="K28" s="217">
        <f>SUM(K29:K31)</f>
        <v>155.61293999999998</v>
      </c>
      <c r="L28" s="397">
        <f>J28/G28</f>
        <v>1.025262752161383</v>
      </c>
      <c r="M28" s="60"/>
    </row>
    <row r="29" spans="1:13" ht="11.25">
      <c r="A29" s="376" t="s">
        <v>674</v>
      </c>
      <c r="B29" s="377" t="s">
        <v>148</v>
      </c>
      <c r="C29" s="392"/>
      <c r="D29" s="392"/>
      <c r="E29" s="392"/>
      <c r="F29" s="423"/>
      <c r="G29" s="218">
        <f>207-33+33-15.4</f>
        <v>191.6</v>
      </c>
      <c r="H29" s="247">
        <v>97.8</v>
      </c>
      <c r="I29" s="424"/>
      <c r="J29" s="218">
        <f>MAJANDUS!S3/1000</f>
        <v>199.87333999999998</v>
      </c>
      <c r="K29" s="216">
        <f>MAJANDUS!S4/1000</f>
        <v>107.87334</v>
      </c>
      <c r="L29" s="411"/>
      <c r="M29" s="60"/>
    </row>
    <row r="30" spans="1:13" ht="11.25">
      <c r="A30" s="376" t="s">
        <v>675</v>
      </c>
      <c r="B30" s="377" t="s">
        <v>150</v>
      </c>
      <c r="C30" s="392"/>
      <c r="D30" s="392"/>
      <c r="E30" s="392"/>
      <c r="F30" s="423"/>
      <c r="G30" s="218">
        <v>19</v>
      </c>
      <c r="H30" s="247"/>
      <c r="I30" s="424"/>
      <c r="J30" s="218">
        <f>MAJANDUS!T3/1000</f>
        <v>27</v>
      </c>
      <c r="K30" s="216"/>
      <c r="L30" s="411"/>
      <c r="M30" s="60"/>
    </row>
    <row r="31" spans="1:13" ht="12" thickBot="1">
      <c r="A31" s="376" t="s">
        <v>676</v>
      </c>
      <c r="B31" s="377" t="s">
        <v>248</v>
      </c>
      <c r="C31" s="392"/>
      <c r="D31" s="392"/>
      <c r="E31" s="392"/>
      <c r="F31" s="423"/>
      <c r="G31" s="218">
        <v>67</v>
      </c>
      <c r="H31" s="247">
        <v>53.5</v>
      </c>
      <c r="I31" s="424"/>
      <c r="J31" s="218">
        <f>MAJANDUS!U3/1000</f>
        <v>57.739599999999996</v>
      </c>
      <c r="K31" s="216">
        <f>MAJANDUS!U4/1000</f>
        <v>47.739599999999996</v>
      </c>
      <c r="L31" s="411"/>
      <c r="M31" s="60"/>
    </row>
    <row r="32" spans="1:13" ht="12" thickBot="1">
      <c r="A32" s="400" t="s">
        <v>677</v>
      </c>
      <c r="B32" s="401" t="s">
        <v>73</v>
      </c>
      <c r="C32" s="426"/>
      <c r="D32" s="426"/>
      <c r="E32" s="426"/>
      <c r="F32" s="427"/>
      <c r="G32" s="215">
        <f>SUM(G33:G33)</f>
        <v>26</v>
      </c>
      <c r="H32" s="245">
        <f>SUM(H33:H33)</f>
        <v>0</v>
      </c>
      <c r="I32" s="67">
        <f>SUM(I33:I33)</f>
        <v>0</v>
      </c>
      <c r="J32" s="215">
        <f>SUM(J33:J33)</f>
        <v>26</v>
      </c>
      <c r="K32" s="217">
        <f>SUM(K33:K33)</f>
        <v>0</v>
      </c>
      <c r="L32" s="397">
        <f>J32/G32</f>
        <v>1</v>
      </c>
      <c r="M32" s="60"/>
    </row>
    <row r="33" spans="1:13" ht="12" thickBot="1">
      <c r="A33" s="376" t="s">
        <v>678</v>
      </c>
      <c r="B33" s="377" t="s">
        <v>373</v>
      </c>
      <c r="C33" s="392"/>
      <c r="D33" s="392"/>
      <c r="E33" s="392"/>
      <c r="F33" s="423"/>
      <c r="G33" s="216">
        <v>26</v>
      </c>
      <c r="H33" s="247"/>
      <c r="I33" s="424"/>
      <c r="J33" s="216">
        <f>Sots!J3/1000</f>
        <v>26</v>
      </c>
      <c r="K33" s="425"/>
      <c r="L33" s="411"/>
      <c r="M33" s="60"/>
    </row>
    <row r="34" spans="1:18" ht="12" thickBot="1">
      <c r="A34" s="400" t="s">
        <v>679</v>
      </c>
      <c r="B34" s="401" t="s">
        <v>680</v>
      </c>
      <c r="C34" s="426"/>
      <c r="D34" s="426"/>
      <c r="E34" s="426"/>
      <c r="F34" s="427"/>
      <c r="G34" s="217">
        <f>SUM(G35:G48)-G40</f>
        <v>632.53</v>
      </c>
      <c r="H34" s="245">
        <f>SUM(H35:H48)-H40</f>
        <v>244.3</v>
      </c>
      <c r="I34" s="67">
        <f>SUM(I35:I48)-I40</f>
        <v>0</v>
      </c>
      <c r="J34" s="245">
        <f>SUM(J35:J48)-J40</f>
        <v>813.4837700000002</v>
      </c>
      <c r="K34" s="245">
        <f>SUM(K35:K48)-K40</f>
        <v>388.41881000000006</v>
      </c>
      <c r="L34" s="397">
        <f>J34/G34</f>
        <v>1.2860793480151143</v>
      </c>
      <c r="M34" s="60"/>
      <c r="O34" s="403"/>
      <c r="P34" s="434"/>
      <c r="R34" s="403"/>
    </row>
    <row r="35" spans="1:18" ht="11.25" hidden="1">
      <c r="A35" s="376" t="s">
        <v>166</v>
      </c>
      <c r="B35" s="377" t="s">
        <v>167</v>
      </c>
      <c r="C35" s="392"/>
      <c r="D35" s="392"/>
      <c r="E35" s="392"/>
      <c r="F35" s="423"/>
      <c r="G35" s="216"/>
      <c r="H35" s="247"/>
      <c r="I35" s="424"/>
      <c r="J35" s="247"/>
      <c r="K35" s="247"/>
      <c r="L35" s="397" t="e">
        <f>J35/G35</f>
        <v>#DIV/0!</v>
      </c>
      <c r="M35" s="60"/>
      <c r="O35" s="403"/>
      <c r="P35" s="434"/>
      <c r="R35" s="403"/>
    </row>
    <row r="36" spans="1:18" ht="11.25">
      <c r="A36" s="376" t="s">
        <v>682</v>
      </c>
      <c r="B36" s="377" t="s">
        <v>681</v>
      </c>
      <c r="C36" s="392"/>
      <c r="D36" s="392"/>
      <c r="E36" s="392"/>
      <c r="F36" s="423"/>
      <c r="G36" s="218">
        <f>374+500-500-374</f>
        <v>0</v>
      </c>
      <c r="H36" s="247">
        <f>134.2-134.2</f>
        <v>0</v>
      </c>
      <c r="I36" s="424"/>
      <c r="J36" s="246">
        <f>'KULT,SP'!K2/1000-315.5</f>
        <v>-0.04750000000001364</v>
      </c>
      <c r="K36" s="247">
        <f>'KULT,SP'!K3/1000-95.5</f>
        <v>-0.04749999999999943</v>
      </c>
      <c r="M36" s="412"/>
      <c r="O36" s="403"/>
      <c r="P36" s="434"/>
      <c r="R36" s="403"/>
    </row>
    <row r="37" spans="1:18" ht="11.25">
      <c r="A37" s="376" t="s">
        <v>683</v>
      </c>
      <c r="B37" s="377" t="s">
        <v>76</v>
      </c>
      <c r="C37" s="392"/>
      <c r="D37" s="392"/>
      <c r="E37" s="392"/>
      <c r="F37" s="423">
        <f>10+3</f>
        <v>13</v>
      </c>
      <c r="G37" s="218">
        <f>(TOV!E6+TOV!E12)/1000</f>
        <v>109.53</v>
      </c>
      <c r="H37" s="461"/>
      <c r="I37" s="462"/>
      <c r="J37" s="246">
        <f>'KULT,SP'!G2/1000</f>
        <v>136.89</v>
      </c>
      <c r="K37" s="461"/>
      <c r="M37" s="412"/>
      <c r="O37" s="403"/>
      <c r="P37" s="434"/>
      <c r="R37" s="403"/>
    </row>
    <row r="38" spans="1:18" ht="11.25" hidden="1">
      <c r="A38" s="376" t="s">
        <v>173</v>
      </c>
      <c r="B38" s="377" t="s">
        <v>174</v>
      </c>
      <c r="C38" s="392"/>
      <c r="D38" s="392"/>
      <c r="E38" s="392"/>
      <c r="F38" s="423"/>
      <c r="G38" s="216"/>
      <c r="H38" s="247"/>
      <c r="I38" s="424"/>
      <c r="J38" s="247"/>
      <c r="K38" s="247"/>
      <c r="M38" s="412"/>
      <c r="R38" s="403"/>
    </row>
    <row r="39" spans="1:18" ht="11.25">
      <c r="A39" s="376" t="s">
        <v>684</v>
      </c>
      <c r="B39" s="377" t="s">
        <v>178</v>
      </c>
      <c r="C39" s="392"/>
      <c r="D39" s="392"/>
      <c r="E39" s="392"/>
      <c r="F39" s="423"/>
      <c r="G39" s="218">
        <v>10</v>
      </c>
      <c r="H39" s="247">
        <v>10</v>
      </c>
      <c r="I39" s="424"/>
      <c r="J39" s="246">
        <f>'KULT,SP'!M52/1000</f>
        <v>25</v>
      </c>
      <c r="K39" s="247"/>
      <c r="M39" s="412"/>
      <c r="O39" s="403"/>
      <c r="P39" s="434"/>
      <c r="R39" s="403"/>
    </row>
    <row r="40" spans="1:18" ht="11.25">
      <c r="A40" s="376" t="s">
        <v>685</v>
      </c>
      <c r="B40" s="377" t="s">
        <v>420</v>
      </c>
      <c r="C40" s="392"/>
      <c r="D40" s="392"/>
      <c r="E40" s="392"/>
      <c r="F40" s="423"/>
      <c r="G40" s="216">
        <f>SUM(G41:G43)</f>
        <v>351</v>
      </c>
      <c r="H40" s="247">
        <f>SUM(H41:H43)</f>
        <v>178.2</v>
      </c>
      <c r="I40" s="247">
        <f>SUM(I41:I43)</f>
        <v>0</v>
      </c>
      <c r="J40" s="247">
        <f>SUM(J41:J43)</f>
        <v>392.32516</v>
      </c>
      <c r="K40" s="247">
        <f>SUM(K41:K43)</f>
        <v>264.72516</v>
      </c>
      <c r="M40" s="412"/>
      <c r="O40" s="403"/>
      <c r="P40" s="434"/>
      <c r="R40" s="403"/>
    </row>
    <row r="41" spans="1:18" ht="11.25">
      <c r="A41" s="376"/>
      <c r="B41" s="377" t="s">
        <v>421</v>
      </c>
      <c r="C41" s="392"/>
      <c r="D41" s="392"/>
      <c r="E41" s="392"/>
      <c r="F41" s="423"/>
      <c r="G41" s="216">
        <v>101</v>
      </c>
      <c r="H41" s="247">
        <v>59.4</v>
      </c>
      <c r="I41" s="424"/>
      <c r="J41" s="247">
        <f>'KULT,SP'!H2/1000</f>
        <v>114.35942</v>
      </c>
      <c r="K41" s="247">
        <f>'KULT,SP'!H3/1000</f>
        <v>72.15942</v>
      </c>
      <c r="M41" s="412"/>
      <c r="O41" s="403"/>
      <c r="P41" s="434"/>
      <c r="R41" s="403"/>
    </row>
    <row r="42" spans="1:18" ht="10.5" customHeight="1">
      <c r="A42" s="376"/>
      <c r="B42" s="377" t="s">
        <v>422</v>
      </c>
      <c r="C42" s="392"/>
      <c r="D42" s="392"/>
      <c r="E42" s="392"/>
      <c r="F42" s="423"/>
      <c r="G42" s="216">
        <f>97+38</f>
        <v>135</v>
      </c>
      <c r="H42" s="247">
        <v>59.4</v>
      </c>
      <c r="I42" s="424"/>
      <c r="J42" s="247">
        <f>'KULT,SP'!J2/1000</f>
        <v>156.20632</v>
      </c>
      <c r="K42" s="247">
        <f>'KULT,SP'!J3/1000</f>
        <v>120.40632000000001</v>
      </c>
      <c r="M42" s="412"/>
      <c r="O42" s="403"/>
      <c r="P42" s="434"/>
      <c r="R42" s="403"/>
    </row>
    <row r="43" spans="1:18" ht="11.25">
      <c r="A43" s="376"/>
      <c r="B43" s="377" t="s">
        <v>423</v>
      </c>
      <c r="C43" s="392"/>
      <c r="D43" s="392"/>
      <c r="E43" s="392"/>
      <c r="F43" s="423"/>
      <c r="G43" s="216">
        <v>115</v>
      </c>
      <c r="H43" s="247">
        <v>59.4</v>
      </c>
      <c r="I43" s="424"/>
      <c r="J43" s="247">
        <f>'KULT,SP'!I2/1000</f>
        <v>121.75941999999999</v>
      </c>
      <c r="K43" s="247">
        <f>'KULT,SP'!I3/1000</f>
        <v>72.15942</v>
      </c>
      <c r="M43" s="412"/>
      <c r="O43" s="403"/>
      <c r="P43" s="434"/>
      <c r="R43" s="403"/>
    </row>
    <row r="44" spans="1:18" ht="11.25">
      <c r="A44" s="376" t="s">
        <v>686</v>
      </c>
      <c r="B44" s="377" t="s">
        <v>624</v>
      </c>
      <c r="C44" s="392"/>
      <c r="D44" s="392"/>
      <c r="E44" s="392"/>
      <c r="F44" s="423"/>
      <c r="G44" s="216">
        <f>124-G46-G48+6.6+24.586-24.586-6.6</f>
        <v>41.96</v>
      </c>
      <c r="H44" s="247">
        <f>48.1-H48+8+24.586-24.586</f>
        <v>24.060000000000002</v>
      </c>
      <c r="I44" s="424"/>
      <c r="J44" s="247">
        <f>'KULT,SP'!E2/1000</f>
        <v>111.91414999999999</v>
      </c>
      <c r="K44" s="247">
        <f>'KULT,SP'!E3/1000</f>
        <v>89.03115</v>
      </c>
      <c r="M44" s="412"/>
      <c r="O44" s="403"/>
      <c r="P44" s="434"/>
      <c r="R44" s="403"/>
    </row>
    <row r="45" spans="1:18" ht="12" customHeight="1">
      <c r="A45" s="376" t="s">
        <v>687</v>
      </c>
      <c r="B45" s="377" t="s">
        <v>180</v>
      </c>
      <c r="C45" s="392"/>
      <c r="D45" s="392"/>
      <c r="E45" s="392"/>
      <c r="F45" s="423"/>
      <c r="G45" s="216">
        <v>3</v>
      </c>
      <c r="H45" s="247"/>
      <c r="I45" s="424"/>
      <c r="J45" s="247">
        <f>'KULT,SP'!L28/1000</f>
        <v>2.5</v>
      </c>
      <c r="K45" s="247"/>
      <c r="M45" s="412"/>
      <c r="O45" s="403"/>
      <c r="P45" s="434"/>
      <c r="R45" s="403"/>
    </row>
    <row r="46" spans="1:18" ht="11.25">
      <c r="A46" s="376" t="s">
        <v>688</v>
      </c>
      <c r="B46" s="377" t="s">
        <v>271</v>
      </c>
      <c r="C46" s="392"/>
      <c r="D46" s="392"/>
      <c r="E46" s="392"/>
      <c r="F46" s="423"/>
      <c r="G46" s="216">
        <f>30+20</f>
        <v>50</v>
      </c>
      <c r="H46" s="247"/>
      <c r="I46" s="424"/>
      <c r="J46" s="247">
        <f>('KULT,SP'!M2-'KULT,SP'!M52)/1000</f>
        <v>70</v>
      </c>
      <c r="K46" s="247"/>
      <c r="M46" s="412"/>
      <c r="O46" s="403"/>
      <c r="P46" s="434"/>
      <c r="R46" s="403"/>
    </row>
    <row r="47" spans="1:18" ht="11.25">
      <c r="A47" s="376" t="s">
        <v>689</v>
      </c>
      <c r="B47" s="377" t="s">
        <v>196</v>
      </c>
      <c r="C47" s="392"/>
      <c r="D47" s="392"/>
      <c r="E47" s="392"/>
      <c r="F47" s="423"/>
      <c r="G47" s="216">
        <v>35</v>
      </c>
      <c r="H47" s="247"/>
      <c r="I47" s="424"/>
      <c r="J47" s="247">
        <f>('KULT,SP'!L2-'KULT,SP'!L28)/1000</f>
        <v>36.19196</v>
      </c>
      <c r="K47" s="247"/>
      <c r="M47" s="412"/>
      <c r="O47" s="403"/>
      <c r="P47" s="434"/>
      <c r="R47" s="403"/>
    </row>
    <row r="48" spans="1:18" ht="12" thickBot="1">
      <c r="A48" s="376" t="s">
        <v>690</v>
      </c>
      <c r="B48" s="377" t="s">
        <v>272</v>
      </c>
      <c r="C48" s="392"/>
      <c r="D48" s="392"/>
      <c r="E48" s="392"/>
      <c r="F48" s="423"/>
      <c r="G48" s="216">
        <f>(2*12*1.335)+6.6-6.6</f>
        <v>32.04</v>
      </c>
      <c r="H48" s="247">
        <f>32.04+6.6-6.6</f>
        <v>32.04</v>
      </c>
      <c r="I48" s="424"/>
      <c r="J48" s="247">
        <f>'KULT,SP'!F2/1000</f>
        <v>38.71</v>
      </c>
      <c r="K48" s="247">
        <f>'KULT,SP'!F3/1000</f>
        <v>34.71</v>
      </c>
      <c r="M48" s="412"/>
      <c r="O48" s="403"/>
      <c r="P48" s="434"/>
      <c r="R48" s="403"/>
    </row>
    <row r="49" spans="1:18" s="407" customFormat="1" ht="12" thickBot="1">
      <c r="A49" s="400" t="s">
        <v>691</v>
      </c>
      <c r="B49" s="401" t="s">
        <v>98</v>
      </c>
      <c r="C49" s="404"/>
      <c r="D49" s="404"/>
      <c r="E49" s="404"/>
      <c r="F49" s="405"/>
      <c r="G49" s="395">
        <f>SUM(G50:G69)-G50-G56</f>
        <v>6879.699000000002</v>
      </c>
      <c r="H49" s="435">
        <f>SUM(H50:H69)-H50-H56</f>
        <v>1487.6999999999996</v>
      </c>
      <c r="I49" s="436">
        <f>SUM(I50:I69)-I50-I56</f>
        <v>0</v>
      </c>
      <c r="J49" s="395">
        <f>SUM(J50:J69)-J50-J56-J60</f>
        <v>7567.901394999999</v>
      </c>
      <c r="K49" s="435">
        <f>SUM(K50:K69)-K50-K56</f>
        <v>1803.2813950000002</v>
      </c>
      <c r="L49" s="437">
        <f>J49/G49</f>
        <v>1.1000337943564096</v>
      </c>
      <c r="M49" s="60"/>
      <c r="O49" s="408"/>
      <c r="P49" s="408"/>
      <c r="R49" s="408"/>
    </row>
    <row r="50" spans="1:18" ht="11.25">
      <c r="A50" s="376" t="s">
        <v>692</v>
      </c>
      <c r="B50" s="377" t="s">
        <v>424</v>
      </c>
      <c r="C50" s="392"/>
      <c r="D50" s="392"/>
      <c r="E50" s="392"/>
      <c r="F50" s="423"/>
      <c r="G50" s="216">
        <f>SUM(G52:G55)</f>
        <v>1129.6390000000001</v>
      </c>
      <c r="H50" s="247">
        <f>SUM(H52:H55)</f>
        <v>558.9</v>
      </c>
      <c r="I50" s="247">
        <f>SUM(I52:I55)</f>
        <v>0</v>
      </c>
      <c r="J50" s="247">
        <f>SUM(J52:J55)</f>
        <v>997.0999000000002</v>
      </c>
      <c r="K50" s="247">
        <f>SUM(K52:K55)</f>
        <v>666.8859</v>
      </c>
      <c r="M50" s="412"/>
      <c r="O50" s="403"/>
      <c r="P50" s="434"/>
      <c r="R50" s="434"/>
    </row>
    <row r="51" spans="1:18" ht="11.25">
      <c r="A51" s="376"/>
      <c r="B51" s="377" t="s">
        <v>446</v>
      </c>
      <c r="C51" s="392"/>
      <c r="D51" s="392"/>
      <c r="E51" s="392"/>
      <c r="F51" s="423"/>
      <c r="G51" s="216">
        <f>5</f>
        <v>5</v>
      </c>
      <c r="H51" s="247"/>
      <c r="I51" s="424"/>
      <c r="J51" s="216">
        <v>5</v>
      </c>
      <c r="K51" s="247"/>
      <c r="M51" s="412"/>
      <c r="O51" s="403"/>
      <c r="P51" s="434"/>
      <c r="R51" s="434"/>
    </row>
    <row r="52" spans="1:18" ht="11.25">
      <c r="A52" s="376"/>
      <c r="B52" s="377" t="s">
        <v>425</v>
      </c>
      <c r="C52" s="392"/>
      <c r="D52" s="392"/>
      <c r="E52" s="392"/>
      <c r="F52" s="423" t="s">
        <v>735</v>
      </c>
      <c r="G52" s="216">
        <f>399+33</f>
        <v>432</v>
      </c>
      <c r="H52" s="247">
        <f>297.9+33</f>
        <v>330.9</v>
      </c>
      <c r="I52" s="424"/>
      <c r="J52" s="216">
        <f>Haridus!E2/1000</f>
        <v>440.58790000000005</v>
      </c>
      <c r="K52" s="247">
        <f>Haridus!E3/1000</f>
        <v>348.08790000000005</v>
      </c>
      <c r="M52" s="412"/>
      <c r="O52" s="403"/>
      <c r="P52" s="434"/>
      <c r="R52" s="438"/>
    </row>
    <row r="53" spans="1:18" ht="12.75" customHeight="1">
      <c r="A53" s="376"/>
      <c r="B53" s="377" t="s">
        <v>426</v>
      </c>
      <c r="C53" s="392"/>
      <c r="D53" s="392"/>
      <c r="E53" s="392"/>
      <c r="F53" s="423" t="s">
        <v>734</v>
      </c>
      <c r="G53" s="216">
        <f>334+20</f>
        <v>354</v>
      </c>
      <c r="H53" s="247">
        <v>228</v>
      </c>
      <c r="I53" s="424"/>
      <c r="J53" s="216">
        <f>Haridus!F2/1000</f>
        <v>408.398</v>
      </c>
      <c r="K53" s="247">
        <f>Haridus!F3/1000</f>
        <v>318.798</v>
      </c>
      <c r="M53" s="412"/>
      <c r="O53" s="403"/>
      <c r="P53" s="434"/>
      <c r="R53" s="438"/>
    </row>
    <row r="54" spans="1:18" ht="11.25">
      <c r="A54" s="376"/>
      <c r="B54" s="377" t="s">
        <v>427</v>
      </c>
      <c r="C54" s="392"/>
      <c r="D54" s="392"/>
      <c r="E54" s="392"/>
      <c r="F54" s="423" t="s">
        <v>738</v>
      </c>
      <c r="G54" s="218">
        <f>(TOV!E5+TOV!E11+TOV!E17)/1000</f>
        <v>300.835</v>
      </c>
      <c r="H54" s="247"/>
      <c r="I54" s="424"/>
      <c r="J54" s="218">
        <f>Haridus!J48/1000</f>
        <v>132.202</v>
      </c>
      <c r="K54" s="247"/>
      <c r="M54" s="412"/>
      <c r="O54" s="403"/>
      <c r="P54" s="434"/>
      <c r="R54" s="434"/>
    </row>
    <row r="55" spans="1:18" ht="11.25">
      <c r="A55" s="376"/>
      <c r="B55" s="377" t="s">
        <v>428</v>
      </c>
      <c r="C55" s="392"/>
      <c r="D55" s="392"/>
      <c r="E55" s="392"/>
      <c r="F55" s="423" t="s">
        <v>739</v>
      </c>
      <c r="G55" s="218">
        <f>(TOV!E38+TOV!E39)/1000</f>
        <v>42.804</v>
      </c>
      <c r="H55" s="247"/>
      <c r="I55" s="424"/>
      <c r="J55" s="218">
        <f>Haridus!J47/1000</f>
        <v>15.912</v>
      </c>
      <c r="K55" s="247"/>
      <c r="M55" s="412"/>
      <c r="O55" s="403"/>
      <c r="P55" s="434"/>
      <c r="R55" s="434"/>
    </row>
    <row r="56" spans="1:18" ht="11.25">
      <c r="A56" s="376" t="s">
        <v>693</v>
      </c>
      <c r="B56" s="377" t="s">
        <v>429</v>
      </c>
      <c r="C56" s="392"/>
      <c r="D56" s="392"/>
      <c r="E56" s="392"/>
      <c r="F56" s="423"/>
      <c r="G56" s="216">
        <f>G57+G58+G59+G60</f>
        <v>4727.9</v>
      </c>
      <c r="H56" s="247">
        <f>SUM(H57:H64)</f>
        <v>888.8</v>
      </c>
      <c r="I56" s="247">
        <f>SUM(I57:I64)</f>
        <v>0</v>
      </c>
      <c r="J56" s="247">
        <f>SUM(J57:J64)</f>
        <v>8862.665495</v>
      </c>
      <c r="K56" s="247">
        <f>SUM(K57:K64)</f>
        <v>968.719495</v>
      </c>
      <c r="M56" s="412"/>
      <c r="O56" s="403"/>
      <c r="P56" s="434"/>
      <c r="R56" s="434"/>
    </row>
    <row r="57" spans="1:18" ht="11.25">
      <c r="A57" s="376"/>
      <c r="B57" s="377" t="s">
        <v>430</v>
      </c>
      <c r="C57" s="392"/>
      <c r="D57" s="392"/>
      <c r="E57" s="392"/>
      <c r="F57" s="423" t="s">
        <v>736</v>
      </c>
      <c r="G57" s="216">
        <f>984+5.5+22.4-22.4-5.5+374-38</f>
        <v>1320</v>
      </c>
      <c r="H57" s="247">
        <f>379.4+5.5+22.4-22.4-5.5+134.2</f>
        <v>513.5999999999999</v>
      </c>
      <c r="I57" s="424"/>
      <c r="J57" s="216">
        <f>Haridus!G2/1000+315.5</f>
        <v>1408.894135</v>
      </c>
      <c r="K57" s="247">
        <f>Haridus!G3/1000+95.5</f>
        <v>538.294135</v>
      </c>
      <c r="M57" s="412"/>
      <c r="O57" s="403"/>
      <c r="P57" s="434"/>
      <c r="R57" s="434"/>
    </row>
    <row r="58" spans="1:18" ht="11.25">
      <c r="A58" s="376"/>
      <c r="B58" s="377" t="s">
        <v>430</v>
      </c>
      <c r="C58" s="392"/>
      <c r="D58" s="392"/>
      <c r="E58" s="392"/>
      <c r="F58" s="423"/>
      <c r="G58" s="216">
        <f>416-416</f>
        <v>0</v>
      </c>
      <c r="H58" s="247"/>
      <c r="I58" s="424"/>
      <c r="J58" s="216"/>
      <c r="K58" s="247"/>
      <c r="M58" s="412"/>
      <c r="O58" s="403"/>
      <c r="P58" s="434"/>
      <c r="R58" s="434"/>
    </row>
    <row r="59" spans="1:18" ht="11.25">
      <c r="A59" s="376"/>
      <c r="B59" s="377" t="s">
        <v>431</v>
      </c>
      <c r="C59" s="392"/>
      <c r="D59" s="392"/>
      <c r="E59" s="392"/>
      <c r="F59" s="423" t="s">
        <v>737</v>
      </c>
      <c r="G59" s="216">
        <f>891+14.4+5.5+36.5-5.5</f>
        <v>941.9</v>
      </c>
      <c r="H59" s="247">
        <f>324.3+36.5+5.5+14.4-5.5</f>
        <v>375.2</v>
      </c>
      <c r="I59" s="424"/>
      <c r="J59" s="216">
        <f>Haridus!H2/1000</f>
        <v>1026.52536</v>
      </c>
      <c r="K59" s="247">
        <f>Haridus!H3/1000</f>
        <v>430.42536</v>
      </c>
      <c r="M59" s="412"/>
      <c r="O59" s="403"/>
      <c r="P59" s="434"/>
      <c r="R59" s="434"/>
    </row>
    <row r="60" spans="1:18" ht="11.25">
      <c r="A60" s="376"/>
      <c r="B60" s="377" t="s">
        <v>445</v>
      </c>
      <c r="C60" s="392"/>
      <c r="D60" s="392"/>
      <c r="E60" s="392"/>
      <c r="F60" s="423"/>
      <c r="G60" s="216">
        <f>2466</f>
        <v>2466</v>
      </c>
      <c r="H60" s="247">
        <f>2367.96-2367.96</f>
        <v>0</v>
      </c>
      <c r="I60" s="424"/>
      <c r="J60" s="216">
        <f>SUM(J61:J63)</f>
        <v>3002</v>
      </c>
      <c r="K60" s="425"/>
      <c r="M60" s="412"/>
      <c r="O60" s="403"/>
      <c r="P60" s="434"/>
      <c r="R60" s="434"/>
    </row>
    <row r="61" spans="1:18" ht="11.25">
      <c r="A61" s="376"/>
      <c r="B61" s="377" t="s">
        <v>754</v>
      </c>
      <c r="C61" s="392"/>
      <c r="D61" s="392"/>
      <c r="E61" s="392"/>
      <c r="F61" s="423"/>
      <c r="G61" s="216"/>
      <c r="H61" s="247"/>
      <c r="I61" s="424"/>
      <c r="J61" s="216">
        <v>1580.413</v>
      </c>
      <c r="K61" s="425"/>
      <c r="M61" s="412"/>
      <c r="O61" s="403"/>
      <c r="P61" s="434"/>
      <c r="R61" s="434"/>
    </row>
    <row r="62" spans="1:18" ht="11.25">
      <c r="A62" s="376"/>
      <c r="B62" s="377" t="s">
        <v>755</v>
      </c>
      <c r="C62" s="392"/>
      <c r="D62" s="392"/>
      <c r="E62" s="392"/>
      <c r="F62" s="423"/>
      <c r="G62" s="216"/>
      <c r="H62" s="247"/>
      <c r="I62" s="424"/>
      <c r="J62" s="216">
        <v>1327.739</v>
      </c>
      <c r="K62" s="425"/>
      <c r="M62" s="412"/>
      <c r="O62" s="403"/>
      <c r="P62" s="434"/>
      <c r="R62" s="434"/>
    </row>
    <row r="63" spans="1:18" ht="11.25">
      <c r="A63" s="376"/>
      <c r="B63" s="377" t="s">
        <v>756</v>
      </c>
      <c r="C63" s="392"/>
      <c r="D63" s="392"/>
      <c r="E63" s="392"/>
      <c r="F63" s="423"/>
      <c r="G63" s="216"/>
      <c r="H63" s="247"/>
      <c r="I63" s="424"/>
      <c r="J63" s="216">
        <v>93.848</v>
      </c>
      <c r="K63" s="425"/>
      <c r="M63" s="412"/>
      <c r="O63" s="403"/>
      <c r="P63" s="434"/>
      <c r="R63" s="434"/>
    </row>
    <row r="64" spans="1:18" ht="11.25">
      <c r="A64" s="376"/>
      <c r="B64" s="377" t="s">
        <v>452</v>
      </c>
      <c r="C64" s="392"/>
      <c r="D64" s="392"/>
      <c r="E64" s="392"/>
      <c r="F64" s="423" t="s">
        <v>740</v>
      </c>
      <c r="G64" s="218">
        <f>(TOV!E4+TOV!E10+TOV!E16+TOV!E21+TOV!E27+TOV!E28+TOV!E35)/1000</f>
        <v>515.772</v>
      </c>
      <c r="H64" s="247"/>
      <c r="I64" s="424"/>
      <c r="J64" s="218">
        <f>Haridus!J49/1000</f>
        <v>423.246</v>
      </c>
      <c r="K64" s="425"/>
      <c r="M64" s="412"/>
      <c r="O64" s="403"/>
      <c r="P64" s="434"/>
      <c r="R64" s="434"/>
    </row>
    <row r="65" spans="1:18" ht="11.25">
      <c r="A65" s="376" t="s">
        <v>694</v>
      </c>
      <c r="B65" s="377" t="s">
        <v>86</v>
      </c>
      <c r="C65" s="392"/>
      <c r="D65" s="392"/>
      <c r="E65" s="392"/>
      <c r="F65" s="423"/>
      <c r="G65" s="216">
        <f>438+9.388</f>
        <v>447.388</v>
      </c>
      <c r="H65" s="247"/>
      <c r="I65" s="424"/>
      <c r="J65" s="216">
        <f>Haridus!I2/1000</f>
        <v>504.26</v>
      </c>
      <c r="K65" s="425"/>
      <c r="M65" s="412"/>
      <c r="O65" s="403"/>
      <c r="P65" s="434"/>
      <c r="R65" s="434"/>
    </row>
    <row r="66" spans="1:18" ht="11.25">
      <c r="A66" s="376"/>
      <c r="B66" s="377" t="s">
        <v>212</v>
      </c>
      <c r="C66" s="392"/>
      <c r="D66" s="392"/>
      <c r="E66" s="392"/>
      <c r="F66" s="423"/>
      <c r="G66" s="216"/>
      <c r="H66" s="247"/>
      <c r="I66" s="424"/>
      <c r="J66" s="216"/>
      <c r="K66" s="425"/>
      <c r="M66" s="412"/>
      <c r="O66" s="403"/>
      <c r="P66" s="434"/>
      <c r="R66" s="434"/>
    </row>
    <row r="67" spans="1:18" ht="11.25">
      <c r="A67" s="376" t="s">
        <v>701</v>
      </c>
      <c r="B67" s="377" t="s">
        <v>695</v>
      </c>
      <c r="C67" s="392"/>
      <c r="D67" s="392"/>
      <c r="E67" s="392"/>
      <c r="F67" s="423"/>
      <c r="G67" s="216">
        <v>54</v>
      </c>
      <c r="H67" s="247">
        <v>40</v>
      </c>
      <c r="I67" s="424"/>
      <c r="J67" s="216">
        <f>Haridus!K2/1000</f>
        <v>53.007</v>
      </c>
      <c r="K67" s="247">
        <f>Haridus!K3/1000</f>
        <v>32.307</v>
      </c>
      <c r="M67" s="412"/>
      <c r="O67" s="403"/>
      <c r="P67" s="434"/>
      <c r="R67" s="434"/>
    </row>
    <row r="68" spans="1:18" ht="12" thickBot="1">
      <c r="A68" s="376" t="s">
        <v>702</v>
      </c>
      <c r="B68" s="377" t="s">
        <v>214</v>
      </c>
      <c r="C68" s="392"/>
      <c r="D68" s="392"/>
      <c r="E68" s="392"/>
      <c r="F68" s="423"/>
      <c r="G68" s="216"/>
      <c r="H68" s="247"/>
      <c r="I68" s="424"/>
      <c r="J68" s="216">
        <f>Haridus!D2/1000</f>
        <v>147.869</v>
      </c>
      <c r="K68" s="247">
        <f>Haridus!D3/1000</f>
        <v>135.369</v>
      </c>
      <c r="M68" s="412"/>
      <c r="O68" s="403"/>
      <c r="P68" s="434"/>
      <c r="R68" s="434"/>
    </row>
    <row r="69" spans="1:15" ht="12" hidden="1" thickBot="1">
      <c r="A69" s="428"/>
      <c r="B69" s="429" t="s">
        <v>269</v>
      </c>
      <c r="C69" s="430"/>
      <c r="D69" s="430"/>
      <c r="E69" s="430"/>
      <c r="F69" s="431"/>
      <c r="G69" s="66"/>
      <c r="H69" s="432"/>
      <c r="I69" s="433"/>
      <c r="J69" s="66"/>
      <c r="K69" s="439"/>
      <c r="L69" s="397" t="e">
        <f>J69/G69</f>
        <v>#DIV/0!</v>
      </c>
      <c r="M69" s="60"/>
      <c r="O69" s="403"/>
    </row>
    <row r="70" spans="1:13" ht="12" thickBot="1">
      <c r="A70" s="400" t="s">
        <v>703</v>
      </c>
      <c r="B70" s="401" t="s">
        <v>99</v>
      </c>
      <c r="C70" s="426"/>
      <c r="D70" s="426"/>
      <c r="E70" s="426"/>
      <c r="F70" s="427"/>
      <c r="G70" s="215">
        <f>SUM(G71:G77)</f>
        <v>1377.9</v>
      </c>
      <c r="H70" s="245">
        <f>SUM(H71:H77)</f>
        <v>373.986</v>
      </c>
      <c r="I70" s="67">
        <f>SUM(I71:I77)</f>
        <v>0</v>
      </c>
      <c r="J70" s="215">
        <f>SUM(J71:J77)</f>
        <v>1353.2934</v>
      </c>
      <c r="K70" s="245">
        <f>SUM(K71:K77)</f>
        <v>441.13740000000007</v>
      </c>
      <c r="L70" s="437">
        <f>J70/G70</f>
        <v>0.9821419551491399</v>
      </c>
      <c r="M70" s="60"/>
    </row>
    <row r="71" spans="1:13" ht="11.25">
      <c r="A71" s="376" t="s">
        <v>704</v>
      </c>
      <c r="B71" s="377" t="s">
        <v>705</v>
      </c>
      <c r="C71" s="392"/>
      <c r="D71" s="392"/>
      <c r="E71" s="392"/>
      <c r="F71" s="423"/>
      <c r="G71" s="216">
        <f>126+24.586-24.586+24.586-126</f>
        <v>24.586000000000013</v>
      </c>
      <c r="H71" s="247">
        <f>54.8+24.586-79.4+25</f>
        <v>24.98599999999999</v>
      </c>
      <c r="I71" s="424"/>
      <c r="J71" s="216"/>
      <c r="K71" s="247"/>
      <c r="M71" s="412"/>
    </row>
    <row r="72" spans="1:13" ht="11.25">
      <c r="A72" s="376" t="s">
        <v>709</v>
      </c>
      <c r="B72" s="377" t="s">
        <v>710</v>
      </c>
      <c r="C72" s="392"/>
      <c r="D72" s="392"/>
      <c r="E72" s="392"/>
      <c r="F72" s="423"/>
      <c r="G72" s="216">
        <v>81</v>
      </c>
      <c r="H72" s="247"/>
      <c r="I72" s="424"/>
      <c r="J72" s="216">
        <f>Sots!I3/1000</f>
        <v>36.3</v>
      </c>
      <c r="K72" s="247"/>
      <c r="M72" s="412"/>
    </row>
    <row r="73" spans="1:13" ht="11.25">
      <c r="A73" s="376" t="s">
        <v>711</v>
      </c>
      <c r="B73" s="377" t="s">
        <v>712</v>
      </c>
      <c r="C73" s="392"/>
      <c r="D73" s="392"/>
      <c r="E73" s="392"/>
      <c r="F73" s="423"/>
      <c r="G73" s="216">
        <v>99</v>
      </c>
      <c r="H73" s="247">
        <v>96.1</v>
      </c>
      <c r="I73" s="424"/>
      <c r="J73" s="216">
        <f>Sots!G3/1000</f>
        <v>84.4609</v>
      </c>
      <c r="K73" s="247">
        <f>Sots!G4/1000</f>
        <v>59.460899999999995</v>
      </c>
      <c r="M73" s="412"/>
    </row>
    <row r="74" spans="1:13" ht="11.25">
      <c r="A74" s="376" t="s">
        <v>711</v>
      </c>
      <c r="B74" s="377" t="s">
        <v>264</v>
      </c>
      <c r="C74" s="392"/>
      <c r="D74" s="392"/>
      <c r="E74" s="392"/>
      <c r="F74" s="423"/>
      <c r="G74" s="216">
        <f>348-36.5-24.586-54.8-28+28</f>
        <v>232.11399999999998</v>
      </c>
      <c r="H74" s="247">
        <f>201.2-36.5-54.8-44.5+28</f>
        <v>93.39999999999999</v>
      </c>
      <c r="I74" s="424"/>
      <c r="J74" s="216">
        <f>Sots!F3/1000</f>
        <v>358.20374</v>
      </c>
      <c r="K74" s="247">
        <f>Sots!F4/1000</f>
        <v>249.70374</v>
      </c>
      <c r="M74" s="412"/>
    </row>
    <row r="75" spans="1:13" ht="11.25">
      <c r="A75" s="376" t="s">
        <v>708</v>
      </c>
      <c r="B75" s="377" t="s">
        <v>611</v>
      </c>
      <c r="C75" s="392"/>
      <c r="D75" s="392"/>
      <c r="E75" s="392"/>
      <c r="F75" s="423"/>
      <c r="G75" s="216">
        <f>30+54.8</f>
        <v>84.8</v>
      </c>
      <c r="H75" s="247">
        <v>44.5</v>
      </c>
      <c r="I75" s="424"/>
      <c r="J75" s="216">
        <f>Sots!H3/1000-J76</f>
        <v>81.856</v>
      </c>
      <c r="K75" s="247"/>
      <c r="M75" s="412"/>
    </row>
    <row r="76" spans="1:13" ht="11.25">
      <c r="A76" s="376" t="s">
        <v>707</v>
      </c>
      <c r="B76" s="377" t="s">
        <v>28</v>
      </c>
      <c r="C76" s="392"/>
      <c r="D76" s="392"/>
      <c r="E76" s="392"/>
      <c r="F76" s="423"/>
      <c r="G76" s="216">
        <v>724</v>
      </c>
      <c r="H76" s="247"/>
      <c r="I76" s="424"/>
      <c r="J76" s="216">
        <f>Sots!H52/1000</f>
        <v>639</v>
      </c>
      <c r="K76" s="247"/>
      <c r="M76" s="412"/>
    </row>
    <row r="77" spans="1:13" ht="12" thickBot="1">
      <c r="A77" s="376" t="s">
        <v>706</v>
      </c>
      <c r="B77" s="377" t="s">
        <v>232</v>
      </c>
      <c r="C77" s="392"/>
      <c r="D77" s="392"/>
      <c r="E77" s="392"/>
      <c r="F77" s="423"/>
      <c r="G77" s="216">
        <f>115+17.4</f>
        <v>132.4</v>
      </c>
      <c r="H77" s="247">
        <v>115</v>
      </c>
      <c r="I77" s="424"/>
      <c r="J77" s="216">
        <f>Sots!E3/1000</f>
        <v>153.47276000000002</v>
      </c>
      <c r="K77" s="247">
        <f>Sots!E4/1000</f>
        <v>131.97276000000002</v>
      </c>
      <c r="M77" s="412"/>
    </row>
    <row r="78" spans="1:13" s="446" customFormat="1" ht="12.75" thickBot="1">
      <c r="A78" s="440" t="s">
        <v>64</v>
      </c>
      <c r="B78" s="441"/>
      <c r="C78" s="442"/>
      <c r="D78" s="442"/>
      <c r="E78" s="442"/>
      <c r="F78" s="442"/>
      <c r="G78" s="220">
        <f>SUM(G79+G83)-G79</f>
        <v>702.0810000000001</v>
      </c>
      <c r="H78" s="443"/>
      <c r="I78" s="444"/>
      <c r="J78" s="220">
        <f>SUM(J79+J83)-J79</f>
        <v>691.3820000000001</v>
      </c>
      <c r="K78" s="445"/>
      <c r="L78" s="406">
        <f aca="true" t="shared" si="0" ref="L78:L85">J78/G78</f>
        <v>0.9847610176033819</v>
      </c>
      <c r="M78" s="60"/>
    </row>
    <row r="79" spans="1:13" ht="12" thickBot="1">
      <c r="A79" s="447">
        <v>291</v>
      </c>
      <c r="B79" s="448" t="s">
        <v>57</v>
      </c>
      <c r="C79" s="448"/>
      <c r="D79" s="449"/>
      <c r="E79" s="448"/>
      <c r="F79" s="448"/>
      <c r="G79" s="221">
        <f>SUM(G80:G82)</f>
        <v>129.849</v>
      </c>
      <c r="H79" s="450">
        <f>SUM(H80:H82)</f>
        <v>0</v>
      </c>
      <c r="I79" s="71">
        <f>SUM(I80:I82)</f>
        <v>0</v>
      </c>
      <c r="J79" s="221">
        <f>SUM(J80:J82)</f>
        <v>67.51329</v>
      </c>
      <c r="K79" s="451">
        <f>SUM(K80:K82)</f>
        <v>0</v>
      </c>
      <c r="L79" s="397">
        <f t="shared" si="0"/>
        <v>0.5199369267379803</v>
      </c>
      <c r="M79" s="60"/>
    </row>
    <row r="80" spans="1:13" ht="11.25">
      <c r="A80" s="376" t="s">
        <v>58</v>
      </c>
      <c r="B80" s="377" t="s">
        <v>59</v>
      </c>
      <c r="D80" s="378"/>
      <c r="E80" s="377"/>
      <c r="F80" s="377"/>
      <c r="G80" s="222">
        <v>14.619</v>
      </c>
      <c r="H80" s="226"/>
      <c r="I80" s="50"/>
      <c r="J80" s="222">
        <f>0.972</f>
        <v>0.972</v>
      </c>
      <c r="K80" s="91"/>
      <c r="L80" s="397">
        <f t="shared" si="0"/>
        <v>0.06648881592448184</v>
      </c>
      <c r="M80" s="60"/>
    </row>
    <row r="81" spans="1:13" ht="11.25">
      <c r="A81" s="376" t="s">
        <v>60</v>
      </c>
      <c r="B81" s="377" t="s">
        <v>61</v>
      </c>
      <c r="D81" s="378"/>
      <c r="E81" s="377"/>
      <c r="F81" s="377"/>
      <c r="G81" s="222">
        <v>94</v>
      </c>
      <c r="H81" s="226"/>
      <c r="I81" s="50"/>
      <c r="J81" s="222">
        <f>46.11</f>
        <v>46.11</v>
      </c>
      <c r="K81" s="91"/>
      <c r="L81" s="397">
        <f t="shared" si="0"/>
        <v>0.490531914893617</v>
      </c>
      <c r="M81" s="60"/>
    </row>
    <row r="82" spans="1:13" ht="12" thickBot="1">
      <c r="A82" s="376" t="s">
        <v>62</v>
      </c>
      <c r="B82" s="377" t="s">
        <v>63</v>
      </c>
      <c r="D82" s="378"/>
      <c r="E82" s="377"/>
      <c r="F82" s="377"/>
      <c r="G82" s="222">
        <f>21.23</f>
        <v>21.23</v>
      </c>
      <c r="H82" s="226"/>
      <c r="I82" s="50"/>
      <c r="J82" s="222">
        <f>20+0.43129</f>
        <v>20.43129</v>
      </c>
      <c r="K82" s="91"/>
      <c r="L82" s="397">
        <f t="shared" si="0"/>
        <v>0.9623782383419689</v>
      </c>
      <c r="M82" s="60"/>
    </row>
    <row r="83" spans="1:13" ht="12" thickBot="1">
      <c r="A83" s="452">
        <v>91</v>
      </c>
      <c r="B83" s="453" t="s">
        <v>416</v>
      </c>
      <c r="C83" s="453"/>
      <c r="D83" s="454"/>
      <c r="E83" s="453"/>
      <c r="F83" s="453"/>
      <c r="G83" s="223">
        <f>SUM(G84:G85)</f>
        <v>702.081</v>
      </c>
      <c r="H83" s="214">
        <f>SUM(H84:H85)</f>
        <v>0</v>
      </c>
      <c r="I83" s="59">
        <f>SUM(I84:I85)</f>
        <v>0</v>
      </c>
      <c r="J83" s="223">
        <f>SUM(J84:J85)</f>
        <v>691.3820000000001</v>
      </c>
      <c r="K83" s="214">
        <f>SUM(K84:K85)</f>
        <v>-10.69899999999997</v>
      </c>
      <c r="L83" s="397">
        <f t="shared" si="0"/>
        <v>0.984761017603382</v>
      </c>
      <c r="M83" s="60"/>
    </row>
    <row r="84" spans="1:13" ht="11.25">
      <c r="A84" s="455">
        <v>914</v>
      </c>
      <c r="B84" s="456"/>
      <c r="C84" s="456" t="s">
        <v>417</v>
      </c>
      <c r="D84" s="456"/>
      <c r="E84" s="456"/>
      <c r="F84" s="456"/>
      <c r="G84" s="224">
        <f>55.7-14.619</f>
        <v>41.081</v>
      </c>
      <c r="H84" s="227"/>
      <c r="I84" s="54"/>
      <c r="J84" s="224">
        <v>30.47</v>
      </c>
      <c r="K84" s="227">
        <f>J84-G84</f>
        <v>-10.611000000000004</v>
      </c>
      <c r="L84" s="397">
        <f t="shared" si="0"/>
        <v>0.74170541126068</v>
      </c>
      <c r="M84" s="60"/>
    </row>
    <row r="85" spans="1:13" ht="11.25">
      <c r="A85" s="455">
        <v>917</v>
      </c>
      <c r="B85" s="456"/>
      <c r="C85" s="456" t="s">
        <v>418</v>
      </c>
      <c r="D85" s="457"/>
      <c r="E85" s="456"/>
      <c r="F85" s="456"/>
      <c r="G85" s="225">
        <v>661</v>
      </c>
      <c r="H85" s="228"/>
      <c r="I85" s="52"/>
      <c r="J85" s="225">
        <v>660.912</v>
      </c>
      <c r="K85" s="227">
        <f>J85-G85</f>
        <v>-0.08799999999996544</v>
      </c>
      <c r="L85" s="397">
        <f t="shared" si="0"/>
        <v>0.9998668683812406</v>
      </c>
      <c r="M85" s="60"/>
    </row>
    <row r="86" spans="1:11" ht="3.75" customHeight="1">
      <c r="A86" s="458"/>
      <c r="B86" s="456"/>
      <c r="C86" s="456"/>
      <c r="D86" s="456"/>
      <c r="E86" s="456"/>
      <c r="F86" s="456"/>
      <c r="G86" s="51"/>
      <c r="H86" s="77"/>
      <c r="I86" s="77"/>
      <c r="J86" s="51"/>
      <c r="K86" s="77"/>
    </row>
    <row r="87" spans="6:10" ht="11.25">
      <c r="F87" s="399"/>
      <c r="G87" s="72"/>
      <c r="J87" s="72"/>
    </row>
    <row r="88" spans="7:12" s="72" customFormat="1" ht="11.25">
      <c r="G88" s="60"/>
      <c r="J88" s="60"/>
      <c r="L88" s="406"/>
    </row>
    <row r="90" spans="8:10" ht="11.25">
      <c r="H90" s="72" t="s">
        <v>1</v>
      </c>
      <c r="I90" s="72"/>
      <c r="J90" s="60">
        <f>tulud!I5</f>
        <v>13568.9816</v>
      </c>
    </row>
    <row r="91" spans="6:10" ht="11.25">
      <c r="F91" s="399"/>
      <c r="H91" s="72" t="s">
        <v>644</v>
      </c>
      <c r="I91" s="72"/>
      <c r="J91" s="60">
        <f>J90-J4</f>
        <v>0</v>
      </c>
    </row>
    <row r="92" spans="5:10" ht="11.25" hidden="1">
      <c r="E92" s="72" t="s">
        <v>447</v>
      </c>
      <c r="F92" s="399"/>
      <c r="G92" s="72"/>
      <c r="J92" s="72"/>
    </row>
    <row r="93" spans="5:10" ht="11.25" hidden="1">
      <c r="E93" s="459" t="s">
        <v>96</v>
      </c>
      <c r="F93" s="460"/>
      <c r="G93" s="78">
        <f>G5/G4</f>
        <v>0.1661349904513702</v>
      </c>
      <c r="J93" s="78">
        <f>J5/J4</f>
        <v>0.15916345667385975</v>
      </c>
    </row>
    <row r="94" spans="5:10" ht="11.25" hidden="1">
      <c r="E94" s="459" t="s">
        <v>97</v>
      </c>
      <c r="F94" s="460"/>
      <c r="G94" s="78">
        <f>G14/G4</f>
        <v>0.09377163865700955</v>
      </c>
      <c r="J94" s="78">
        <f>J14/J4</f>
        <v>0.08523882735606332</v>
      </c>
    </row>
    <row r="95" spans="5:10" ht="11.25" hidden="1">
      <c r="E95" s="459" t="s">
        <v>71</v>
      </c>
      <c r="F95" s="460"/>
      <c r="G95" s="78">
        <f>G24/G4</f>
        <v>0.011959051889534156</v>
      </c>
      <c r="J95" s="78">
        <f>J24/J4</f>
        <v>0.01528486117189517</v>
      </c>
    </row>
    <row r="96" spans="5:10" ht="11.25" hidden="1">
      <c r="E96" s="459" t="s">
        <v>72</v>
      </c>
      <c r="F96" s="460"/>
      <c r="G96" s="78">
        <f>G28/G4</f>
        <v>0.021985647712150214</v>
      </c>
      <c r="J96" s="78">
        <f>J28/J4</f>
        <v>0.02097526169539503</v>
      </c>
    </row>
    <row r="97" spans="5:10" ht="11.25" hidden="1">
      <c r="E97" s="459" t="s">
        <v>73</v>
      </c>
      <c r="F97" s="460"/>
      <c r="G97" s="78">
        <f>G32/G4</f>
        <v>0.0020591744975356828</v>
      </c>
      <c r="J97" s="78">
        <f>J32/J4</f>
        <v>0.0019161349588682468</v>
      </c>
    </row>
    <row r="98" spans="5:10" ht="11.25" hidden="1">
      <c r="E98" s="459" t="s">
        <v>100</v>
      </c>
      <c r="F98" s="460"/>
      <c r="G98" s="78">
        <f>G34/G4</f>
        <v>0.05009575557408636</v>
      </c>
      <c r="J98" s="78">
        <f>J34/J4</f>
        <v>0.05995171885265141</v>
      </c>
    </row>
    <row r="99" spans="5:10" ht="11.25" hidden="1">
      <c r="E99" s="459" t="s">
        <v>98</v>
      </c>
      <c r="F99" s="460"/>
      <c r="G99" s="78">
        <f>G49/G4</f>
        <v>0.5448654127508363</v>
      </c>
      <c r="J99" s="78">
        <f>J49/J4</f>
        <v>0.5577354010856642</v>
      </c>
    </row>
    <row r="100" spans="5:10" ht="12" customHeight="1" hidden="1">
      <c r="E100" s="459" t="s">
        <v>99</v>
      </c>
      <c r="F100" s="460"/>
      <c r="G100" s="78">
        <f>G70/G4</f>
        <v>0.1091283284674776</v>
      </c>
      <c r="J100" s="78">
        <f>J70/J4</f>
        <v>0.0997343382056027</v>
      </c>
    </row>
    <row r="101" spans="5:10" ht="11.25" hidden="1">
      <c r="E101" s="459" t="s">
        <v>416</v>
      </c>
      <c r="F101" s="460"/>
      <c r="G101" s="78">
        <f>G78/G4</f>
        <v>0.05560412655401346</v>
      </c>
      <c r="J101" s="78">
        <f>J78/J4</f>
        <v>0.05095312385124024</v>
      </c>
    </row>
    <row r="102" spans="5:10" ht="11.25" hidden="1">
      <c r="E102" s="392"/>
      <c r="F102" s="392"/>
      <c r="G102" s="81">
        <f>SUM(G93:G101)</f>
        <v>1.0556041265540135</v>
      </c>
      <c r="J102" s="81">
        <f>SUM(J93:J101)</f>
        <v>1.0509531238512402</v>
      </c>
    </row>
  </sheetData>
  <printOptions horizontalCentered="1"/>
  <pageMargins left="0.15748031496062992" right="0.15748031496062992" top="0.4724409448818898" bottom="0.1968503937007874" header="0.31496062992125984" footer="0.11811023622047245"/>
  <pageSetup horizontalDpi="300" verticalDpi="300" orientation="portrait" paperSize="9" r:id="rId1"/>
  <headerFooter alignWithMargins="0">
    <oddHeader>&amp;R&amp;D &amp;T 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243"/>
  <sheetViews>
    <sheetView tabSelected="1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7" sqref="L17"/>
    </sheetView>
  </sheetViews>
  <sheetFormatPr defaultColWidth="9.140625" defaultRowHeight="12.75"/>
  <cols>
    <col min="1" max="1" width="43.140625" style="658" customWidth="1"/>
    <col min="2" max="2" width="11.28125" style="763" customWidth="1"/>
    <col min="3" max="3" width="11.00390625" style="763" customWidth="1"/>
    <col min="4" max="4" width="10.57421875" style="662" customWidth="1"/>
    <col min="5" max="5" width="1.1484375" style="673" hidden="1" customWidth="1"/>
    <col min="6" max="6" width="9.421875" style="784" customWidth="1"/>
    <col min="7" max="8" width="6.00390625" style="658" hidden="1" customWidth="1"/>
    <col min="9" max="9" width="9.8515625" style="658" hidden="1" customWidth="1"/>
    <col min="10" max="10" width="0.2890625" style="658" hidden="1" customWidth="1"/>
    <col min="11" max="11" width="5.421875" style="658" customWidth="1"/>
    <col min="12" max="16384" width="9.140625" style="658" customWidth="1"/>
  </cols>
  <sheetData>
    <row r="1" spans="1:11" s="93" customFormat="1" ht="15">
      <c r="A1" s="151" t="s">
        <v>743</v>
      </c>
      <c r="B1" s="762"/>
      <c r="C1" s="762"/>
      <c r="D1" s="129"/>
      <c r="E1" s="672"/>
      <c r="F1" s="128"/>
      <c r="G1" s="815"/>
      <c r="H1" s="128"/>
      <c r="I1" s="128"/>
      <c r="J1" s="128"/>
      <c r="K1" s="128"/>
    </row>
    <row r="2" spans="1:10" ht="31.5" customHeight="1" thickBot="1">
      <c r="A2" s="785"/>
      <c r="B2" s="819" t="s">
        <v>1070</v>
      </c>
      <c r="C2" s="819" t="s">
        <v>1093</v>
      </c>
      <c r="D2" s="787" t="s">
        <v>1092</v>
      </c>
      <c r="E2" s="788" t="s">
        <v>869</v>
      </c>
      <c r="F2" s="789" t="s">
        <v>1045</v>
      </c>
      <c r="G2" s="811"/>
      <c r="H2" s="812" t="s">
        <v>1025</v>
      </c>
      <c r="I2" s="813">
        <v>2005</v>
      </c>
      <c r="J2" s="814"/>
    </row>
    <row r="3" spans="1:10" ht="30" customHeight="1" thickBot="1">
      <c r="A3" s="106" t="s">
        <v>1084</v>
      </c>
      <c r="B3" s="791">
        <f>B91+B80+B58+B36+B34+B27+B23+B14+B13+B4</f>
        <v>20813</v>
      </c>
      <c r="C3" s="791">
        <f>C91+C80+C58+C36+C34+C27+C23+C14+C13+C4</f>
        <v>19591</v>
      </c>
      <c r="D3" s="791">
        <f>D91+D80+D58+D36+D34+D27+D23+D14+D13+D4</f>
        <v>18341.549</v>
      </c>
      <c r="E3" s="791">
        <f>E91+E80+E58+E36+E34+E27+E23+E14+E13+E4</f>
        <v>4343.24635</v>
      </c>
      <c r="F3" s="791">
        <f>F91+F80+F58+F36+F34+F27+F23+F14+F13+F4</f>
        <v>18071.689</v>
      </c>
      <c r="G3" s="772">
        <f>G4+G14+G23+G27+G34+G36+G58+G80+G92</f>
        <v>0</v>
      </c>
      <c r="H3" s="694" t="e">
        <f>D3-#REF!</f>
        <v>#REF!</v>
      </c>
      <c r="I3" s="700" t="s">
        <v>1028</v>
      </c>
      <c r="J3" s="709" t="s">
        <v>1027</v>
      </c>
    </row>
    <row r="4" spans="1:16" s="662" customFormat="1" ht="15.75" thickBot="1">
      <c r="A4" s="151" t="s">
        <v>96</v>
      </c>
      <c r="B4" s="792">
        <f>B12+B11+B10+B9+B8+B7+B6+B5</f>
        <v>1714</v>
      </c>
      <c r="C4" s="792">
        <f>C12+C11+C10+C9+C8+C7+C6+C5</f>
        <v>1607</v>
      </c>
      <c r="D4" s="792">
        <f>SUM(D5:D13)</f>
        <v>1444.429</v>
      </c>
      <c r="E4" s="792">
        <f>E12+E11+E10+E9+E8+E7+E6+E5</f>
        <v>875.272725</v>
      </c>
      <c r="F4" s="792">
        <f>F12+F11+F10+F9+F8+F7+F6+F5</f>
        <v>1465.905</v>
      </c>
      <c r="G4" s="660">
        <f>SUM(G5:G12)</f>
        <v>0</v>
      </c>
      <c r="H4" s="695" t="e">
        <f>D4-#REF!</f>
        <v>#REF!</v>
      </c>
      <c r="I4" s="701"/>
      <c r="J4" s="768"/>
      <c r="K4" s="739"/>
      <c r="L4" s="771"/>
      <c r="M4" s="771"/>
      <c r="N4" s="771"/>
      <c r="O4" s="771"/>
      <c r="P4" s="771"/>
    </row>
    <row r="5" spans="1:16" ht="14.25">
      <c r="A5" s="110" t="s">
        <v>66</v>
      </c>
      <c r="B5" s="820">
        <v>57</v>
      </c>
      <c r="C5" s="820">
        <v>47</v>
      </c>
      <c r="D5" s="796">
        <v>53.74</v>
      </c>
      <c r="E5" s="823">
        <f>Ü!F5/1000</f>
        <v>32.04</v>
      </c>
      <c r="F5" s="796">
        <v>35.212</v>
      </c>
      <c r="G5" s="773"/>
      <c r="I5" s="702"/>
      <c r="J5" s="769"/>
      <c r="K5" s="699"/>
      <c r="L5" s="699"/>
      <c r="M5" s="699"/>
      <c r="N5" s="699"/>
      <c r="O5" s="699"/>
      <c r="P5" s="699"/>
    </row>
    <row r="6" spans="1:16" ht="14.25">
      <c r="A6" s="110" t="s">
        <v>67</v>
      </c>
      <c r="B6" s="820">
        <v>809</v>
      </c>
      <c r="C6" s="820">
        <v>805</v>
      </c>
      <c r="D6" s="796">
        <v>729.013</v>
      </c>
      <c r="E6" s="823">
        <f>Ü!E5/1000</f>
        <v>479.552025</v>
      </c>
      <c r="F6" s="796">
        <v>763.941</v>
      </c>
      <c r="G6" s="774"/>
      <c r="I6" s="702"/>
      <c r="J6" s="769"/>
      <c r="K6" s="699"/>
      <c r="L6" s="699"/>
      <c r="M6" s="699"/>
      <c r="N6" s="699"/>
      <c r="O6" s="699"/>
      <c r="P6" s="699"/>
    </row>
    <row r="7" spans="1:16" ht="14.25">
      <c r="A7" s="110" t="s">
        <v>1020</v>
      </c>
      <c r="B7" s="820">
        <v>126</v>
      </c>
      <c r="C7" s="820">
        <v>113</v>
      </c>
      <c r="D7" s="796">
        <f>125.305+20</f>
        <v>145.305</v>
      </c>
      <c r="E7" s="823">
        <f>Ü!I5/1000</f>
        <v>36.2052</v>
      </c>
      <c r="F7" s="796">
        <f>131.141+16</f>
        <v>147.141</v>
      </c>
      <c r="G7" s="775"/>
      <c r="I7" s="702"/>
      <c r="J7" s="769"/>
      <c r="K7" s="699"/>
      <c r="L7" s="699"/>
      <c r="M7" s="699"/>
      <c r="N7" s="699"/>
      <c r="O7" s="699"/>
      <c r="P7" s="699"/>
    </row>
    <row r="8" spans="1:7" s="699" customFormat="1" ht="14.25">
      <c r="A8" s="110" t="s">
        <v>65</v>
      </c>
      <c r="B8" s="820">
        <v>68</v>
      </c>
      <c r="C8" s="820"/>
      <c r="D8" s="796">
        <v>4.045</v>
      </c>
      <c r="E8" s="824"/>
      <c r="F8" s="825"/>
      <c r="G8" s="735"/>
    </row>
    <row r="9" spans="1:16" ht="14.25">
      <c r="A9" s="110" t="s">
        <v>438</v>
      </c>
      <c r="B9" s="820">
        <v>386</v>
      </c>
      <c r="C9" s="820">
        <v>390</v>
      </c>
      <c r="D9" s="796">
        <v>351.176</v>
      </c>
      <c r="E9" s="823">
        <f>Ü!H5/1000</f>
        <v>327.4755</v>
      </c>
      <c r="F9" s="796">
        <v>345</v>
      </c>
      <c r="G9" s="773"/>
      <c r="I9" s="702"/>
      <c r="J9" s="769"/>
      <c r="K9" s="699"/>
      <c r="L9" s="699"/>
      <c r="M9" s="699"/>
      <c r="N9" s="699"/>
      <c r="O9" s="699"/>
      <c r="P9" s="699"/>
    </row>
    <row r="10" spans="1:16" ht="14.25">
      <c r="A10" s="110" t="s">
        <v>1072</v>
      </c>
      <c r="B10" s="820">
        <v>29</v>
      </c>
      <c r="C10" s="820">
        <v>27</v>
      </c>
      <c r="D10" s="796"/>
      <c r="E10" s="823"/>
      <c r="F10" s="796"/>
      <c r="G10" s="774"/>
      <c r="I10" s="702"/>
      <c r="J10" s="769"/>
      <c r="K10" s="699"/>
      <c r="L10" s="699"/>
      <c r="M10" s="699"/>
      <c r="N10" s="699"/>
      <c r="O10" s="699"/>
      <c r="P10" s="699"/>
    </row>
    <row r="11" spans="1:16" ht="14.25">
      <c r="A11" s="110" t="s">
        <v>112</v>
      </c>
      <c r="B11" s="820">
        <v>161</v>
      </c>
      <c r="C11" s="820">
        <v>157</v>
      </c>
      <c r="D11" s="796">
        <v>94</v>
      </c>
      <c r="E11" s="823"/>
      <c r="F11" s="796">
        <v>124.428</v>
      </c>
      <c r="G11" s="774"/>
      <c r="I11" s="702"/>
      <c r="J11" s="769"/>
      <c r="K11" s="699"/>
      <c r="L11" s="699"/>
      <c r="M11" s="699"/>
      <c r="N11" s="699"/>
      <c r="O11" s="699"/>
      <c r="P11" s="699"/>
    </row>
    <row r="12" spans="1:17" ht="14.25">
      <c r="A12" s="110" t="s">
        <v>453</v>
      </c>
      <c r="B12" s="820">
        <v>78</v>
      </c>
      <c r="C12" s="820">
        <v>68</v>
      </c>
      <c r="D12" s="796">
        <v>67.15</v>
      </c>
      <c r="E12" s="823"/>
      <c r="F12" s="796">
        <v>50.183</v>
      </c>
      <c r="G12" s="775"/>
      <c r="I12" s="702"/>
      <c r="J12" s="769"/>
      <c r="K12" s="699"/>
      <c r="L12" s="699"/>
      <c r="M12" s="699"/>
      <c r="N12" s="699"/>
      <c r="O12" s="699"/>
      <c r="P12" s="699"/>
      <c r="Q12" s="699"/>
    </row>
    <row r="13" spans="1:17" s="766" customFormat="1" ht="15" thickBot="1">
      <c r="A13" s="151" t="s">
        <v>1073</v>
      </c>
      <c r="B13" s="791"/>
      <c r="C13" s="791">
        <v>4</v>
      </c>
      <c r="D13" s="739"/>
      <c r="E13" s="793"/>
      <c r="F13" s="698"/>
      <c r="G13" s="765"/>
      <c r="I13" s="767"/>
      <c r="J13" s="770"/>
      <c r="K13" s="771"/>
      <c r="L13" s="771"/>
      <c r="M13" s="771"/>
      <c r="N13" s="771"/>
      <c r="O13" s="771"/>
      <c r="P13" s="771"/>
      <c r="Q13" s="771"/>
    </row>
    <row r="14" spans="1:16" s="662" customFormat="1" ht="15.75" thickBot="1">
      <c r="A14" s="151" t="s">
        <v>97</v>
      </c>
      <c r="B14" s="794">
        <f>B22+B21+B20+B19+B18+B17+B16+B15</f>
        <v>2082</v>
      </c>
      <c r="C14" s="794">
        <f>C22+C21+C20+C19+C18+C17+C16+C15</f>
        <v>2057</v>
      </c>
      <c r="D14" s="794">
        <f>SUM(D15:D22)</f>
        <v>1586.6720000000003</v>
      </c>
      <c r="E14" s="794">
        <f>E22+E21+E20+E19+E18+E17+E16+E15</f>
        <v>566.1040800000001</v>
      </c>
      <c r="F14" s="794">
        <f>F22+F21+F20+F19+F18+F17+F16+F15</f>
        <v>1473.6079999999997</v>
      </c>
      <c r="G14" s="713">
        <f>SUM(G15:G22)</f>
        <v>0</v>
      </c>
      <c r="H14" s="764" t="e">
        <f>D14-#REF!</f>
        <v>#REF!</v>
      </c>
      <c r="I14" s="701"/>
      <c r="J14" s="768"/>
      <c r="K14" s="739"/>
      <c r="L14" s="771"/>
      <c r="M14" s="771"/>
      <c r="N14" s="771"/>
      <c r="O14" s="771"/>
      <c r="P14" s="771"/>
    </row>
    <row r="15" spans="1:10" ht="14.25">
      <c r="A15" s="110" t="s">
        <v>258</v>
      </c>
      <c r="B15" s="795">
        <v>188</v>
      </c>
      <c r="C15" s="795">
        <v>165</v>
      </c>
      <c r="D15" s="796">
        <v>234.953</v>
      </c>
      <c r="E15" s="795">
        <f>MAJANDUS!E4/1000</f>
        <v>95.4525</v>
      </c>
      <c r="F15" s="795">
        <v>192.509</v>
      </c>
      <c r="G15" s="776"/>
      <c r="I15" s="702"/>
      <c r="J15" s="702"/>
    </row>
    <row r="16" spans="1:10" ht="14.25">
      <c r="A16" s="110" t="s">
        <v>634</v>
      </c>
      <c r="B16" s="795">
        <v>164</v>
      </c>
      <c r="C16" s="795">
        <v>149</v>
      </c>
      <c r="D16" s="795">
        <v>118.453</v>
      </c>
      <c r="E16" s="795">
        <f>MAJANDUS!F4/1000</f>
        <v>95.4525</v>
      </c>
      <c r="F16" s="795">
        <v>111.533</v>
      </c>
      <c r="G16" s="777"/>
      <c r="I16" s="702"/>
      <c r="J16" s="702"/>
    </row>
    <row r="17" spans="1:10" ht="14.25">
      <c r="A17" s="110" t="s">
        <v>267</v>
      </c>
      <c r="B17" s="795">
        <v>380</v>
      </c>
      <c r="C17" s="795">
        <v>484</v>
      </c>
      <c r="D17" s="796">
        <v>401.762</v>
      </c>
      <c r="E17" s="795">
        <f>MAJANDUS!L4/1000</f>
        <v>238.76208000000003</v>
      </c>
      <c r="F17" s="795">
        <v>424</v>
      </c>
      <c r="G17" s="777"/>
      <c r="I17" s="702"/>
      <c r="J17" s="702"/>
    </row>
    <row r="18" spans="1:10" ht="14.25">
      <c r="A18" s="110" t="s">
        <v>1021</v>
      </c>
      <c r="B18" s="795">
        <v>213</v>
      </c>
      <c r="C18" s="795">
        <v>201</v>
      </c>
      <c r="D18" s="796">
        <v>15</v>
      </c>
      <c r="E18" s="795">
        <f>MAJANDUS!K4/1000</f>
        <v>13.35</v>
      </c>
      <c r="F18" s="795">
        <v>13.112</v>
      </c>
      <c r="G18" s="777"/>
      <c r="I18" s="702"/>
      <c r="J18" s="702"/>
    </row>
    <row r="19" spans="1:10" ht="14.25">
      <c r="A19" s="110" t="s">
        <v>1022</v>
      </c>
      <c r="B19" s="795">
        <v>483</v>
      </c>
      <c r="C19" s="795">
        <v>413</v>
      </c>
      <c r="D19" s="796">
        <v>375.675</v>
      </c>
      <c r="E19" s="795">
        <f>MAJANDUS!J4/1000</f>
        <v>6.675</v>
      </c>
      <c r="F19" s="795">
        <v>376</v>
      </c>
      <c r="G19" s="777"/>
      <c r="I19" s="702"/>
      <c r="J19" s="702"/>
    </row>
    <row r="20" spans="1:10" ht="14.25">
      <c r="A20" s="110" t="s">
        <v>139</v>
      </c>
      <c r="B20" s="795">
        <v>12</v>
      </c>
      <c r="C20" s="795">
        <v>12</v>
      </c>
      <c r="D20" s="796">
        <v>12</v>
      </c>
      <c r="E20" s="795"/>
      <c r="F20" s="795">
        <v>12</v>
      </c>
      <c r="G20" s="777"/>
      <c r="I20" s="702"/>
      <c r="J20" s="702"/>
    </row>
    <row r="21" spans="1:10" ht="14.25">
      <c r="A21" s="110" t="s">
        <v>635</v>
      </c>
      <c r="B21" s="795">
        <v>327</v>
      </c>
      <c r="C21" s="795">
        <v>328</v>
      </c>
      <c r="D21" s="795">
        <f>257.877+22.54</f>
        <v>280.41700000000003</v>
      </c>
      <c r="E21" s="795"/>
      <c r="F21" s="795">
        <f>232.338+22.54</f>
        <v>254.878</v>
      </c>
      <c r="G21" s="777"/>
      <c r="I21" s="702"/>
      <c r="J21" s="702"/>
    </row>
    <row r="22" spans="1:10" ht="15" thickBot="1">
      <c r="A22" s="110" t="s">
        <v>143</v>
      </c>
      <c r="B22" s="795">
        <v>315</v>
      </c>
      <c r="C22" s="795">
        <v>305</v>
      </c>
      <c r="D22" s="796">
        <v>148.412</v>
      </c>
      <c r="E22" s="795">
        <f>MAJANDUS!G4/1000</f>
        <v>116.412</v>
      </c>
      <c r="F22" s="795">
        <v>89.576</v>
      </c>
      <c r="G22" s="778"/>
      <c r="I22" s="702"/>
      <c r="J22" s="702"/>
    </row>
    <row r="23" spans="1:10" ht="15.75" thickBot="1">
      <c r="A23" s="151" t="s">
        <v>71</v>
      </c>
      <c r="B23" s="794">
        <f>B24+B25+B26</f>
        <v>298</v>
      </c>
      <c r="C23" s="794">
        <f>C24+C25+C26</f>
        <v>288</v>
      </c>
      <c r="D23" s="794">
        <f>SUM(D24:D26)</f>
        <v>285.082</v>
      </c>
      <c r="E23" s="794">
        <f>E24+E25+E26</f>
        <v>113.419</v>
      </c>
      <c r="F23" s="794">
        <f>F24+F25+F26</f>
        <v>242.616</v>
      </c>
      <c r="G23" s="695">
        <f>SUM(G24:G26)</f>
        <v>0</v>
      </c>
      <c r="H23" s="695" t="e">
        <f>D23-#REF!</f>
        <v>#REF!</v>
      </c>
      <c r="I23" s="702"/>
      <c r="J23" s="702"/>
    </row>
    <row r="24" spans="1:10" ht="14.25">
      <c r="A24" s="110" t="s">
        <v>245</v>
      </c>
      <c r="B24" s="795">
        <v>58</v>
      </c>
      <c r="C24" s="795">
        <v>56</v>
      </c>
      <c r="D24" s="796">
        <v>22</v>
      </c>
      <c r="E24" s="795"/>
      <c r="F24" s="795">
        <v>24.597</v>
      </c>
      <c r="G24" s="776"/>
      <c r="I24" s="702"/>
      <c r="J24" s="702"/>
    </row>
    <row r="25" spans="1:10" ht="14.25">
      <c r="A25" s="128" t="s">
        <v>247</v>
      </c>
      <c r="B25" s="795">
        <v>140</v>
      </c>
      <c r="C25" s="795">
        <v>160</v>
      </c>
      <c r="D25" s="796">
        <v>146.44</v>
      </c>
      <c r="E25" s="795">
        <f>MAJANDUS!P4/1000</f>
        <v>53.4</v>
      </c>
      <c r="F25" s="795">
        <v>158</v>
      </c>
      <c r="G25" s="777"/>
      <c r="I25" s="702"/>
      <c r="J25" s="702"/>
    </row>
    <row r="26" spans="1:10" ht="15" thickBot="1">
      <c r="A26" s="110" t="s">
        <v>419</v>
      </c>
      <c r="B26" s="795">
        <v>100</v>
      </c>
      <c r="C26" s="795">
        <v>72</v>
      </c>
      <c r="D26" s="796">
        <v>116.642</v>
      </c>
      <c r="E26" s="795">
        <v>60.019</v>
      </c>
      <c r="F26" s="795">
        <v>60.019</v>
      </c>
      <c r="G26" s="778"/>
      <c r="I26" s="702"/>
      <c r="J26" s="702"/>
    </row>
    <row r="27" spans="1:10" s="662" customFormat="1" ht="15.75" thickBot="1">
      <c r="A27" s="151" t="s">
        <v>72</v>
      </c>
      <c r="B27" s="794">
        <f>B28+B29+B30+B31+B32+B33</f>
        <v>680</v>
      </c>
      <c r="C27" s="794">
        <f>C28+C29+C30+C31+C32+C33</f>
        <v>617</v>
      </c>
      <c r="D27" s="794">
        <f>SUM(D28:D33)</f>
        <v>691.613</v>
      </c>
      <c r="E27" s="794">
        <f>E28+E29+E30+E31+E32+E33</f>
        <v>155.61293999999998</v>
      </c>
      <c r="F27" s="794">
        <f>F28+F29+F30+F31+F32+F33</f>
        <v>903.3560000000001</v>
      </c>
      <c r="G27" s="695">
        <f>SUM(G28:G33)</f>
        <v>0</v>
      </c>
      <c r="H27" s="695" t="e">
        <f>D27-#REF!</f>
        <v>#REF!</v>
      </c>
      <c r="I27" s="703"/>
      <c r="J27" s="703"/>
    </row>
    <row r="28" spans="1:10" ht="14.25">
      <c r="A28" s="110" t="s">
        <v>148</v>
      </c>
      <c r="B28" s="795">
        <v>400</v>
      </c>
      <c r="C28" s="795">
        <v>429</v>
      </c>
      <c r="D28" s="796">
        <v>199.873</v>
      </c>
      <c r="E28" s="795">
        <f>MAJANDUS!S4/1000</f>
        <v>107.87334</v>
      </c>
      <c r="F28" s="795">
        <v>336.275</v>
      </c>
      <c r="G28" s="776"/>
      <c r="I28" s="702"/>
      <c r="J28" s="702"/>
    </row>
    <row r="29" spans="1:10" ht="14.25">
      <c r="A29" s="110" t="s">
        <v>150</v>
      </c>
      <c r="B29" s="795">
        <v>30</v>
      </c>
      <c r="C29" s="795">
        <v>32</v>
      </c>
      <c r="D29" s="796">
        <v>27</v>
      </c>
      <c r="E29" s="795"/>
      <c r="F29" s="795">
        <v>41.72</v>
      </c>
      <c r="G29" s="777"/>
      <c r="I29" s="702"/>
      <c r="J29" s="702"/>
    </row>
    <row r="30" spans="1:10" ht="14.25">
      <c r="A30" s="110" t="s">
        <v>831</v>
      </c>
      <c r="B30" s="795">
        <v>31</v>
      </c>
      <c r="C30" s="795">
        <v>31</v>
      </c>
      <c r="D30" s="796">
        <v>276</v>
      </c>
      <c r="E30" s="795"/>
      <c r="F30" s="795">
        <v>276.031</v>
      </c>
      <c r="G30" s="777"/>
      <c r="I30" s="702"/>
      <c r="J30" s="702"/>
    </row>
    <row r="31" spans="1:10" ht="14.25">
      <c r="A31" s="110" t="s">
        <v>1074</v>
      </c>
      <c r="B31" s="795">
        <v>110</v>
      </c>
      <c r="C31" s="795">
        <v>29</v>
      </c>
      <c r="D31" s="796">
        <v>115</v>
      </c>
      <c r="E31" s="795"/>
      <c r="F31" s="795">
        <v>104.43</v>
      </c>
      <c r="G31" s="777"/>
      <c r="I31" s="702"/>
      <c r="J31" s="702"/>
    </row>
    <row r="32" spans="1:10" ht="14.25">
      <c r="A32" s="110" t="s">
        <v>878</v>
      </c>
      <c r="B32" s="795">
        <v>44</v>
      </c>
      <c r="C32" s="795">
        <v>31</v>
      </c>
      <c r="D32" s="796">
        <v>3</v>
      </c>
      <c r="E32" s="795"/>
      <c r="F32" s="795">
        <v>54.021</v>
      </c>
      <c r="G32" s="777"/>
      <c r="I32" s="702"/>
      <c r="J32" s="702"/>
    </row>
    <row r="33" spans="1:10" ht="15" thickBot="1">
      <c r="A33" s="110" t="s">
        <v>248</v>
      </c>
      <c r="B33" s="795">
        <v>65</v>
      </c>
      <c r="C33" s="795">
        <v>65</v>
      </c>
      <c r="D33" s="796">
        <v>70.74</v>
      </c>
      <c r="E33" s="795">
        <f>MAJANDUS!U4/1000</f>
        <v>47.739599999999996</v>
      </c>
      <c r="F33" s="795">
        <v>90.879</v>
      </c>
      <c r="G33" s="778"/>
      <c r="I33" s="702"/>
      <c r="J33" s="702"/>
    </row>
    <row r="34" spans="1:10" ht="15.75" thickBot="1">
      <c r="A34" s="151" t="s">
        <v>73</v>
      </c>
      <c r="B34" s="792">
        <v>40</v>
      </c>
      <c r="C34" s="792">
        <v>35</v>
      </c>
      <c r="D34" s="792">
        <f>SUM(D35:D35)</f>
        <v>26</v>
      </c>
      <c r="E34" s="795">
        <f>SUM(E35:E35)</f>
        <v>0</v>
      </c>
      <c r="F34" s="792">
        <f>SUM(F35:F35)</f>
        <v>30.634</v>
      </c>
      <c r="G34" s="696">
        <f>SUM(G35:G35)</f>
        <v>0</v>
      </c>
      <c r="H34" s="664" t="e">
        <f>D34-#REF!</f>
        <v>#REF!</v>
      </c>
      <c r="I34" s="702"/>
      <c r="J34" s="702"/>
    </row>
    <row r="35" spans="1:10" ht="15" thickBot="1">
      <c r="A35" s="110" t="s">
        <v>373</v>
      </c>
      <c r="B35" s="795">
        <v>40</v>
      </c>
      <c r="C35" s="795">
        <v>35</v>
      </c>
      <c r="D35" s="795">
        <v>26</v>
      </c>
      <c r="E35" s="822"/>
      <c r="F35" s="795">
        <v>30.634</v>
      </c>
      <c r="G35" s="779"/>
      <c r="I35" s="702"/>
      <c r="J35" s="702"/>
    </row>
    <row r="36" spans="1:11" ht="15.75" thickBot="1">
      <c r="A36" s="151" t="s">
        <v>680</v>
      </c>
      <c r="B36" s="792">
        <f>B37+B38+B39+B40+B41+B45+B46+B48+B49+B52+B53+B54+B55+B56</f>
        <v>3628</v>
      </c>
      <c r="C36" s="792">
        <f>C37+C38+C39+C40+C41+C45+C46+C48+C49+C52+C53+C54+C55+C56</f>
        <v>3431</v>
      </c>
      <c r="D36" s="792">
        <f>D37+D38+D39+D40+D41+D45+D46+D48+D49+D52+D53+D54+D55+D56</f>
        <v>2102.202</v>
      </c>
      <c r="E36" s="792">
        <f>E37+E38+E39+E40+E41+E45+E46+E48+E49+E52+E53+E54+E55+E56</f>
        <v>388.41880999999995</v>
      </c>
      <c r="F36" s="792">
        <f>F37+F38+F39+F40+F41+F45+F46+F48+F49+F52+F53+F54+F55+F56</f>
        <v>1988.1599999999999</v>
      </c>
      <c r="G36" s="697">
        <f>SUM(G37:G56)-G41</f>
        <v>0</v>
      </c>
      <c r="H36" s="696" t="e">
        <f>D36-#REF!</f>
        <v>#REF!</v>
      </c>
      <c r="I36" s="706"/>
      <c r="J36" s="702"/>
      <c r="K36" s="659"/>
    </row>
    <row r="37" spans="1:11" ht="14.25">
      <c r="A37" s="110" t="s">
        <v>870</v>
      </c>
      <c r="B37" s="795"/>
      <c r="C37" s="795"/>
      <c r="D37" s="796">
        <v>319.502</v>
      </c>
      <c r="E37" s="821">
        <f>'KULT,SP'!K3/1000-95.5</f>
        <v>-0.04749999999999943</v>
      </c>
      <c r="F37" s="795">
        <v>336.882</v>
      </c>
      <c r="G37" s="773"/>
      <c r="H37" s="659"/>
      <c r="I37" s="704"/>
      <c r="J37" s="702"/>
      <c r="K37" s="659"/>
    </row>
    <row r="38" spans="1:11" ht="14.25">
      <c r="A38" s="110" t="s">
        <v>843</v>
      </c>
      <c r="B38" s="795">
        <v>1200</v>
      </c>
      <c r="C38" s="795">
        <v>1344</v>
      </c>
      <c r="D38" s="796">
        <v>500</v>
      </c>
      <c r="E38" s="821"/>
      <c r="F38" s="795">
        <v>499.99</v>
      </c>
      <c r="G38" s="774"/>
      <c r="H38" s="659"/>
      <c r="I38" s="704"/>
      <c r="J38" s="702"/>
      <c r="K38" s="659"/>
    </row>
    <row r="39" spans="1:11" ht="14.25">
      <c r="A39" s="110" t="s">
        <v>76</v>
      </c>
      <c r="B39" s="795">
        <v>248</v>
      </c>
      <c r="C39" s="795">
        <v>183</v>
      </c>
      <c r="D39" s="796">
        <v>136.89</v>
      </c>
      <c r="E39" s="821"/>
      <c r="F39" s="795">
        <v>153.184</v>
      </c>
      <c r="G39" s="774"/>
      <c r="H39" s="659"/>
      <c r="I39" s="705"/>
      <c r="J39" s="702"/>
      <c r="K39" s="659"/>
    </row>
    <row r="40" spans="1:11" ht="14.25">
      <c r="A40" s="110" t="s">
        <v>178</v>
      </c>
      <c r="B40" s="795">
        <v>68</v>
      </c>
      <c r="C40" s="795">
        <v>83</v>
      </c>
      <c r="D40" s="796">
        <v>29</v>
      </c>
      <c r="E40" s="821"/>
      <c r="F40" s="795">
        <v>13.116</v>
      </c>
      <c r="G40" s="774"/>
      <c r="H40" s="659"/>
      <c r="I40" s="705"/>
      <c r="J40" s="702"/>
      <c r="K40" s="659"/>
    </row>
    <row r="41" spans="1:11" ht="14.25">
      <c r="A41" s="110" t="s">
        <v>420</v>
      </c>
      <c r="B41" s="795">
        <v>544</v>
      </c>
      <c r="C41" s="795">
        <v>524</v>
      </c>
      <c r="D41" s="795">
        <f>SUM(D42:D44)</f>
        <v>479.37200000000007</v>
      </c>
      <c r="E41" s="795">
        <f>SUM(E42:E44)</f>
        <v>264.72516</v>
      </c>
      <c r="F41" s="795">
        <f>SUM(F42:F44)</f>
        <v>468.79599999999994</v>
      </c>
      <c r="G41" s="774"/>
      <c r="H41" s="659"/>
      <c r="I41" s="705"/>
      <c r="J41" s="702"/>
      <c r="K41" s="659"/>
    </row>
    <row r="42" spans="1:14" ht="14.25">
      <c r="A42" s="110" t="s">
        <v>421</v>
      </c>
      <c r="B42" s="795">
        <v>178</v>
      </c>
      <c r="C42" s="795">
        <v>171</v>
      </c>
      <c r="D42" s="795">
        <v>137.58</v>
      </c>
      <c r="E42" s="821">
        <f>'KULT,SP'!H3/1000</f>
        <v>72.15942</v>
      </c>
      <c r="F42" s="795">
        <v>129.629</v>
      </c>
      <c r="G42" s="774"/>
      <c r="H42" s="659"/>
      <c r="I42" s="705"/>
      <c r="J42" s="702"/>
      <c r="K42" s="659"/>
      <c r="N42" s="658" t="s">
        <v>1071</v>
      </c>
    </row>
    <row r="43" spans="1:11" ht="14.25">
      <c r="A43" s="110" t="s">
        <v>422</v>
      </c>
      <c r="B43" s="795">
        <v>210</v>
      </c>
      <c r="C43" s="795">
        <v>203</v>
      </c>
      <c r="D43" s="795">
        <v>203.481</v>
      </c>
      <c r="E43" s="821">
        <f>'KULT,SP'!J3/1000</f>
        <v>120.40632000000001</v>
      </c>
      <c r="F43" s="795">
        <v>201.007</v>
      </c>
      <c r="G43" s="774"/>
      <c r="H43" s="659"/>
      <c r="I43" s="705"/>
      <c r="J43" s="702"/>
      <c r="K43" s="659"/>
    </row>
    <row r="44" spans="1:11" ht="14.25">
      <c r="A44" s="110" t="s">
        <v>423</v>
      </c>
      <c r="B44" s="795">
        <v>156</v>
      </c>
      <c r="C44" s="795">
        <v>150</v>
      </c>
      <c r="D44" s="795">
        <v>138.311</v>
      </c>
      <c r="E44" s="821">
        <f>'KULT,SP'!I3/1000</f>
        <v>72.15942</v>
      </c>
      <c r="F44" s="795">
        <v>138.16</v>
      </c>
      <c r="G44" s="774"/>
      <c r="H44" s="659"/>
      <c r="I44" s="705"/>
      <c r="J44" s="702"/>
      <c r="K44" s="659"/>
    </row>
    <row r="45" spans="1:11" ht="14.25">
      <c r="A45" s="110" t="s">
        <v>1083</v>
      </c>
      <c r="B45" s="795"/>
      <c r="C45" s="795"/>
      <c r="D45" s="795">
        <v>25</v>
      </c>
      <c r="E45" s="821"/>
      <c r="F45" s="795">
        <v>89.062</v>
      </c>
      <c r="G45" s="774"/>
      <c r="H45" s="659"/>
      <c r="I45" s="705"/>
      <c r="J45" s="702"/>
      <c r="K45" s="659"/>
    </row>
    <row r="46" spans="1:11" ht="14.25">
      <c r="A46" s="110" t="s">
        <v>871</v>
      </c>
      <c r="B46" s="795">
        <v>1053</v>
      </c>
      <c r="C46" s="795">
        <v>974</v>
      </c>
      <c r="D46" s="795">
        <v>182</v>
      </c>
      <c r="E46" s="821">
        <f>'KULT,SP'!E3/1000</f>
        <v>89.03115</v>
      </c>
      <c r="F46" s="795">
        <v>219</v>
      </c>
      <c r="G46" s="774"/>
      <c r="H46" s="659"/>
      <c r="I46" s="705"/>
      <c r="J46" s="702"/>
      <c r="K46" s="659"/>
    </row>
    <row r="47" spans="1:11" ht="14.25">
      <c r="A47" s="110" t="s">
        <v>1075</v>
      </c>
      <c r="B47" s="795">
        <v>767</v>
      </c>
      <c r="C47" s="795">
        <v>767</v>
      </c>
      <c r="D47" s="795"/>
      <c r="E47" s="821"/>
      <c r="F47" s="795">
        <f>29.5</f>
        <v>29.5</v>
      </c>
      <c r="G47" s="774"/>
      <c r="H47" s="659"/>
      <c r="I47" s="705"/>
      <c r="J47" s="702"/>
      <c r="K47" s="659"/>
    </row>
    <row r="48" spans="1:11" ht="12" customHeight="1">
      <c r="A48" s="110" t="s">
        <v>180</v>
      </c>
      <c r="B48" s="795"/>
      <c r="C48" s="795">
        <v>5</v>
      </c>
      <c r="D48" s="795">
        <v>4.5</v>
      </c>
      <c r="E48" s="821"/>
      <c r="F48" s="795">
        <v>2.3</v>
      </c>
      <c r="G48" s="774"/>
      <c r="H48" s="659"/>
      <c r="I48" s="705"/>
      <c r="J48" s="702"/>
      <c r="K48" s="659"/>
    </row>
    <row r="49" spans="1:11" ht="12" customHeight="1">
      <c r="A49" s="110" t="s">
        <v>194</v>
      </c>
      <c r="B49" s="795">
        <v>371</v>
      </c>
      <c r="C49" s="795">
        <v>205</v>
      </c>
      <c r="D49" s="795">
        <v>224</v>
      </c>
      <c r="E49" s="821"/>
      <c r="F49" s="795">
        <v>23</v>
      </c>
      <c r="G49" s="774"/>
      <c r="H49" s="659"/>
      <c r="I49" s="705"/>
      <c r="J49" s="702"/>
      <c r="K49" s="659"/>
    </row>
    <row r="50" spans="1:11" ht="12" customHeight="1">
      <c r="A50" s="110" t="s">
        <v>1076</v>
      </c>
      <c r="B50" s="795">
        <v>171</v>
      </c>
      <c r="C50" s="795"/>
      <c r="D50" s="795"/>
      <c r="E50" s="821"/>
      <c r="F50" s="795"/>
      <c r="G50" s="774"/>
      <c r="H50" s="659"/>
      <c r="I50" s="705"/>
      <c r="J50" s="702"/>
      <c r="K50" s="659"/>
    </row>
    <row r="51" spans="1:11" ht="12" customHeight="1">
      <c r="A51" s="110" t="s">
        <v>1077</v>
      </c>
      <c r="B51" s="795">
        <v>200</v>
      </c>
      <c r="C51" s="795">
        <v>205</v>
      </c>
      <c r="D51" s="795">
        <v>224</v>
      </c>
      <c r="E51" s="821"/>
      <c r="F51" s="795">
        <v>23.187</v>
      </c>
      <c r="G51" s="774"/>
      <c r="H51" s="659"/>
      <c r="I51" s="711">
        <v>200</v>
      </c>
      <c r="J51" s="702"/>
      <c r="K51" s="659"/>
    </row>
    <row r="52" spans="1:11" ht="14.25">
      <c r="A52" s="110" t="s">
        <v>271</v>
      </c>
      <c r="B52" s="795">
        <v>69</v>
      </c>
      <c r="C52" s="795">
        <v>38</v>
      </c>
      <c r="D52" s="795">
        <v>44.536</v>
      </c>
      <c r="E52" s="821"/>
      <c r="F52" s="795">
        <v>24.948</v>
      </c>
      <c r="G52" s="774"/>
      <c r="H52" s="659"/>
      <c r="I52" s="705"/>
      <c r="J52" s="702"/>
      <c r="K52" s="659"/>
    </row>
    <row r="53" spans="1:11" ht="14.25">
      <c r="A53" s="110" t="s">
        <v>873</v>
      </c>
      <c r="B53" s="795"/>
      <c r="C53" s="795"/>
      <c r="D53" s="795">
        <v>42.5</v>
      </c>
      <c r="E53" s="821"/>
      <c r="F53" s="795">
        <v>56.614</v>
      </c>
      <c r="G53" s="774"/>
      <c r="H53" s="659"/>
      <c r="I53" s="705"/>
      <c r="J53" s="702"/>
      <c r="K53" s="659"/>
    </row>
    <row r="54" spans="1:11" ht="14.25">
      <c r="A54" s="110" t="s">
        <v>196</v>
      </c>
      <c r="B54" s="795">
        <v>37</v>
      </c>
      <c r="C54" s="795">
        <v>35</v>
      </c>
      <c r="D54" s="795">
        <v>36.192</v>
      </c>
      <c r="E54" s="821"/>
      <c r="F54" s="795">
        <v>34.889</v>
      </c>
      <c r="G54" s="774"/>
      <c r="H54" s="659"/>
      <c r="I54" s="705"/>
      <c r="J54" s="702"/>
      <c r="K54" s="659"/>
    </row>
    <row r="55" spans="1:11" ht="14.25">
      <c r="A55" s="110" t="s">
        <v>874</v>
      </c>
      <c r="B55" s="795"/>
      <c r="C55" s="795"/>
      <c r="D55" s="795">
        <v>40</v>
      </c>
      <c r="E55" s="821"/>
      <c r="F55" s="795">
        <v>33.179</v>
      </c>
      <c r="G55" s="774"/>
      <c r="H55" s="659"/>
      <c r="I55" s="705"/>
      <c r="J55" s="702"/>
      <c r="K55" s="659"/>
    </row>
    <row r="56" spans="1:11" ht="14.25">
      <c r="A56" s="110" t="s">
        <v>272</v>
      </c>
      <c r="B56" s="795">
        <v>38</v>
      </c>
      <c r="C56" s="795">
        <v>40</v>
      </c>
      <c r="D56" s="796">
        <v>38.71</v>
      </c>
      <c r="E56" s="821">
        <f>'KULT,SP'!F3/1000</f>
        <v>34.71</v>
      </c>
      <c r="F56" s="795">
        <v>33.2</v>
      </c>
      <c r="G56" s="775"/>
      <c r="H56" s="659"/>
      <c r="I56" s="705"/>
      <c r="J56" s="702"/>
      <c r="K56" s="659"/>
    </row>
    <row r="57" spans="1:11" ht="15" thickBot="1">
      <c r="A57" s="110"/>
      <c r="B57" s="795"/>
      <c r="C57" s="795"/>
      <c r="D57" s="796"/>
      <c r="E57" s="821"/>
      <c r="F57" s="795"/>
      <c r="G57" s="730"/>
      <c r="H57" s="659"/>
      <c r="I57" s="705"/>
      <c r="J57" s="702"/>
      <c r="K57" s="659"/>
    </row>
    <row r="58" spans="1:11" s="662" customFormat="1" ht="15.75" thickBot="1">
      <c r="A58" s="151" t="s">
        <v>98</v>
      </c>
      <c r="B58" s="794">
        <f>B59+B65+B74+B76+B77+B78+B79</f>
        <v>10087</v>
      </c>
      <c r="C58" s="794">
        <f>C59+C65+C74+C76+C77+C78+C79</f>
        <v>9569</v>
      </c>
      <c r="D58" s="794">
        <f>D59+D65+D76+D77+D78+D79</f>
        <v>10439.258000000002</v>
      </c>
      <c r="E58" s="794">
        <f>E59+E65+E74+E76+E77+E78+E79</f>
        <v>1803.281395</v>
      </c>
      <c r="F58" s="794">
        <f>F59+F65+F74+F76+F77+F78+F79</f>
        <v>10476.137</v>
      </c>
      <c r="G58" s="695">
        <f>SUM(G59:G79)-G59-G65-G70</f>
        <v>0</v>
      </c>
      <c r="H58" s="695" t="e">
        <f>D58-#REF!</f>
        <v>#REF!</v>
      </c>
      <c r="I58" s="706"/>
      <c r="J58" s="701"/>
      <c r="K58" s="663"/>
    </row>
    <row r="59" spans="1:11" ht="14.25">
      <c r="A59" s="110" t="s">
        <v>424</v>
      </c>
      <c r="B59" s="795">
        <v>1241</v>
      </c>
      <c r="C59" s="795">
        <v>1142</v>
      </c>
      <c r="D59" s="795">
        <f>SUM(D60:D64)</f>
        <v>1065.1000000000001</v>
      </c>
      <c r="E59" s="821">
        <f>SUM(E61:E64)</f>
        <v>666.8859</v>
      </c>
      <c r="F59" s="795">
        <f>SUM(F61:F64)</f>
        <v>1030.771</v>
      </c>
      <c r="G59" s="666">
        <f>SUM(G61:G64)</f>
        <v>0</v>
      </c>
      <c r="H59" s="659"/>
      <c r="I59" s="705"/>
      <c r="J59" s="702"/>
      <c r="K59" s="665"/>
    </row>
    <row r="60" spans="1:11" ht="14.25">
      <c r="A60" s="110" t="s">
        <v>1078</v>
      </c>
      <c r="B60" s="795">
        <v>6</v>
      </c>
      <c r="C60" s="795">
        <v>6</v>
      </c>
      <c r="D60" s="795">
        <v>5</v>
      </c>
      <c r="E60" s="821"/>
      <c r="F60" s="795">
        <v>1.23</v>
      </c>
      <c r="G60" s="774"/>
      <c r="H60" s="659"/>
      <c r="I60" s="705"/>
      <c r="J60" s="702"/>
      <c r="K60" s="665"/>
    </row>
    <row r="61" spans="1:11" ht="14.25">
      <c r="A61" s="110" t="s">
        <v>425</v>
      </c>
      <c r="B61" s="795">
        <v>571</v>
      </c>
      <c r="C61" s="795">
        <v>557</v>
      </c>
      <c r="D61" s="795">
        <v>448.588</v>
      </c>
      <c r="E61" s="821">
        <f>Haridus!E3/1000</f>
        <v>348.08790000000005</v>
      </c>
      <c r="F61" s="795">
        <v>453.748</v>
      </c>
      <c r="G61" s="774"/>
      <c r="H61" s="659"/>
      <c r="I61" s="705"/>
      <c r="J61" s="702"/>
      <c r="K61" s="667"/>
    </row>
    <row r="62" spans="1:11" ht="12.75" customHeight="1">
      <c r="A62" s="110" t="s">
        <v>426</v>
      </c>
      <c r="B62" s="795">
        <v>471</v>
      </c>
      <c r="C62" s="795">
        <v>446</v>
      </c>
      <c r="D62" s="795">
        <v>419.398</v>
      </c>
      <c r="E62" s="821">
        <f>Haridus!F3/1000</f>
        <v>318.798</v>
      </c>
      <c r="F62" s="795">
        <v>406.446</v>
      </c>
      <c r="G62" s="774"/>
      <c r="H62" s="659"/>
      <c r="I62" s="705"/>
      <c r="J62" s="702"/>
      <c r="K62" s="667"/>
    </row>
    <row r="63" spans="1:11" ht="12.75" customHeight="1">
      <c r="A63" s="110" t="s">
        <v>875</v>
      </c>
      <c r="B63" s="795"/>
      <c r="C63" s="795"/>
      <c r="D63" s="795">
        <v>44</v>
      </c>
      <c r="E63" s="821"/>
      <c r="F63" s="795">
        <v>47.147</v>
      </c>
      <c r="G63" s="774"/>
      <c r="H63" s="659"/>
      <c r="I63" s="705"/>
      <c r="J63" s="702"/>
      <c r="K63" s="667"/>
    </row>
    <row r="64" spans="1:11" ht="14.25">
      <c r="A64" s="110" t="s">
        <v>1079</v>
      </c>
      <c r="B64" s="795">
        <v>193</v>
      </c>
      <c r="C64" s="795">
        <v>133</v>
      </c>
      <c r="D64" s="795">
        <v>148.114</v>
      </c>
      <c r="E64" s="821"/>
      <c r="F64" s="795">
        <v>123.43</v>
      </c>
      <c r="G64" s="774"/>
      <c r="H64" s="659"/>
      <c r="I64" s="705"/>
      <c r="J64" s="702"/>
      <c r="K64" s="665"/>
    </row>
    <row r="65" spans="1:11" s="670" customFormat="1" ht="14.25">
      <c r="A65" s="110" t="s">
        <v>429</v>
      </c>
      <c r="B65" s="796">
        <v>7957</v>
      </c>
      <c r="C65" s="796">
        <v>7592</v>
      </c>
      <c r="D65" s="795">
        <v>8684</v>
      </c>
      <c r="E65" s="821">
        <f>SUM(E66:E75)</f>
        <v>968.719495</v>
      </c>
      <c r="F65" s="795">
        <v>8785</v>
      </c>
      <c r="G65" s="807">
        <f>SUM(G66:G75)</f>
        <v>0</v>
      </c>
      <c r="H65" s="803"/>
      <c r="I65" s="804"/>
      <c r="J65" s="805"/>
      <c r="K65" s="806"/>
    </row>
    <row r="66" spans="1:11" ht="14.25">
      <c r="A66" s="110" t="s">
        <v>430</v>
      </c>
      <c r="B66" s="795">
        <v>1797</v>
      </c>
      <c r="C66" s="795">
        <v>1829</v>
      </c>
      <c r="D66" s="795">
        <v>1350.414</v>
      </c>
      <c r="E66" s="821">
        <f>Haridus!G3/1000+95.5</f>
        <v>538.294135</v>
      </c>
      <c r="F66" s="795">
        <v>1424.526</v>
      </c>
      <c r="G66" s="774"/>
      <c r="H66" s="659"/>
      <c r="I66" s="705"/>
      <c r="J66" s="710">
        <f>27.5+20</f>
        <v>47.5</v>
      </c>
      <c r="K66" s="665"/>
    </row>
    <row r="67" spans="1:11" ht="14.25">
      <c r="A67" s="110" t="s">
        <v>877</v>
      </c>
      <c r="B67" s="795">
        <v>615</v>
      </c>
      <c r="C67" s="795">
        <v>418</v>
      </c>
      <c r="D67" s="795">
        <v>596.63</v>
      </c>
      <c r="E67" s="821"/>
      <c r="F67" s="795">
        <v>604.488</v>
      </c>
      <c r="G67" s="774"/>
      <c r="H67" s="659"/>
      <c r="I67" s="705"/>
      <c r="J67" s="702"/>
      <c r="K67" s="665"/>
    </row>
    <row r="68" spans="1:11" ht="14.25">
      <c r="A68" s="110" t="s">
        <v>431</v>
      </c>
      <c r="B68" s="795">
        <v>1652</v>
      </c>
      <c r="C68" s="795">
        <v>1587</v>
      </c>
      <c r="D68" s="795">
        <v>1169.728</v>
      </c>
      <c r="E68" s="821">
        <f>Haridus!H3/1000</f>
        <v>430.42536</v>
      </c>
      <c r="F68" s="795">
        <v>1327.655</v>
      </c>
      <c r="G68" s="774"/>
      <c r="H68" s="659"/>
      <c r="I68" s="705"/>
      <c r="J68" s="702">
        <v>15</v>
      </c>
      <c r="K68" s="665"/>
    </row>
    <row r="69" spans="1:11" ht="14.25">
      <c r="A69" s="110" t="s">
        <v>876</v>
      </c>
      <c r="B69" s="795">
        <v>50</v>
      </c>
      <c r="C69" s="795">
        <v>33</v>
      </c>
      <c r="D69" s="795">
        <v>2118.58</v>
      </c>
      <c r="E69" s="821"/>
      <c r="F69" s="795">
        <v>2066.358</v>
      </c>
      <c r="G69" s="774"/>
      <c r="H69" s="659"/>
      <c r="I69" s="705"/>
      <c r="J69" s="702">
        <v>35</v>
      </c>
      <c r="K69" s="665"/>
    </row>
    <row r="70" spans="1:11" ht="14.25">
      <c r="A70" s="110" t="s">
        <v>1086</v>
      </c>
      <c r="B70" s="795">
        <v>3151</v>
      </c>
      <c r="C70" s="795">
        <v>3273</v>
      </c>
      <c r="D70" s="795">
        <f>SUM(D71:D73)</f>
        <v>3019</v>
      </c>
      <c r="E70" s="795">
        <f>SUM(E71:E73)</f>
        <v>0</v>
      </c>
      <c r="F70" s="795">
        <f>SUM(F71:F73)</f>
        <v>2954.315</v>
      </c>
      <c r="G70" s="780"/>
      <c r="H70" s="659"/>
      <c r="I70" s="705"/>
      <c r="J70" s="702"/>
      <c r="K70" s="665"/>
    </row>
    <row r="71" spans="1:11" ht="14.25">
      <c r="A71" s="110" t="s">
        <v>1089</v>
      </c>
      <c r="B71" s="795">
        <v>1749</v>
      </c>
      <c r="C71" s="795">
        <v>1791</v>
      </c>
      <c r="D71" s="795">
        <v>1638.413</v>
      </c>
      <c r="E71" s="822"/>
      <c r="F71" s="795">
        <v>1632.162</v>
      </c>
      <c r="G71" s="780"/>
      <c r="H71" s="659"/>
      <c r="I71" s="705"/>
      <c r="J71" s="702"/>
      <c r="K71" s="665"/>
    </row>
    <row r="72" spans="1:11" ht="14.25">
      <c r="A72" s="110" t="s">
        <v>1091</v>
      </c>
      <c r="B72" s="795">
        <v>1402</v>
      </c>
      <c r="C72" s="795">
        <v>1482</v>
      </c>
      <c r="D72" s="795">
        <v>1327.739</v>
      </c>
      <c r="E72" s="822"/>
      <c r="F72" s="795">
        <v>1306.099</v>
      </c>
      <c r="G72" s="780"/>
      <c r="H72" s="659"/>
      <c r="I72" s="705"/>
      <c r="J72" s="702"/>
      <c r="K72" s="665"/>
    </row>
    <row r="73" spans="1:11" ht="14.25">
      <c r="A73" s="110" t="s">
        <v>1090</v>
      </c>
      <c r="B73" s="795"/>
      <c r="C73" s="795"/>
      <c r="D73" s="795">
        <v>52.848</v>
      </c>
      <c r="E73" s="822"/>
      <c r="F73" s="795">
        <v>16.054</v>
      </c>
      <c r="G73" s="780"/>
      <c r="H73" s="659"/>
      <c r="I73" s="705"/>
      <c r="J73" s="702"/>
      <c r="K73" s="665"/>
    </row>
    <row r="74" spans="1:11" ht="14.25">
      <c r="A74" s="110" t="s">
        <v>1087</v>
      </c>
      <c r="B74" s="795"/>
      <c r="C74" s="795"/>
      <c r="D74" s="795">
        <f>3.234+2.278</f>
        <v>5.5120000000000005</v>
      </c>
      <c r="E74" s="822"/>
      <c r="F74" s="795">
        <f>11.341+7.644</f>
        <v>18.985</v>
      </c>
      <c r="G74" s="780"/>
      <c r="H74" s="659"/>
      <c r="I74" s="705"/>
      <c r="J74" s="702">
        <v>13</v>
      </c>
      <c r="K74" s="665"/>
    </row>
    <row r="75" spans="1:11" ht="14.25">
      <c r="A75" s="110" t="s">
        <v>1088</v>
      </c>
      <c r="B75" s="795">
        <v>453</v>
      </c>
      <c r="C75" s="795">
        <v>450</v>
      </c>
      <c r="D75" s="795">
        <v>423.246</v>
      </c>
      <c r="E75" s="822"/>
      <c r="F75" s="795">
        <v>407.509</v>
      </c>
      <c r="G75" s="780"/>
      <c r="H75" s="659"/>
      <c r="I75" s="705"/>
      <c r="J75" s="702"/>
      <c r="K75" s="665"/>
    </row>
    <row r="76" spans="1:11" s="670" customFormat="1" ht="14.25">
      <c r="A76" s="110" t="s">
        <v>86</v>
      </c>
      <c r="B76" s="796">
        <v>605</v>
      </c>
      <c r="C76" s="796">
        <v>602</v>
      </c>
      <c r="D76" s="796">
        <v>504</v>
      </c>
      <c r="E76" s="830"/>
      <c r="F76" s="796">
        <v>505.775</v>
      </c>
      <c r="G76" s="808"/>
      <c r="H76" s="803"/>
      <c r="I76" s="804"/>
      <c r="J76" s="805"/>
      <c r="K76" s="806"/>
    </row>
    <row r="77" spans="1:11" s="670" customFormat="1" ht="14.25">
      <c r="A77" s="110" t="s">
        <v>695</v>
      </c>
      <c r="B77" s="796">
        <v>59</v>
      </c>
      <c r="C77" s="796">
        <v>40</v>
      </c>
      <c r="D77" s="796">
        <v>53.007</v>
      </c>
      <c r="E77" s="823">
        <f>Haridus!K3/1000</f>
        <v>32.307</v>
      </c>
      <c r="F77" s="796">
        <v>34.32</v>
      </c>
      <c r="G77" s="807"/>
      <c r="H77" s="803"/>
      <c r="I77" s="804"/>
      <c r="J77" s="805"/>
      <c r="K77" s="806"/>
    </row>
    <row r="78" spans="1:11" s="670" customFormat="1" ht="14.25">
      <c r="A78" s="110" t="s">
        <v>1023</v>
      </c>
      <c r="B78" s="796">
        <v>67</v>
      </c>
      <c r="C78" s="796">
        <v>57</v>
      </c>
      <c r="D78" s="796">
        <v>39.906</v>
      </c>
      <c r="E78" s="823"/>
      <c r="F78" s="796">
        <v>39</v>
      </c>
      <c r="G78" s="807"/>
      <c r="H78" s="803"/>
      <c r="I78" s="804"/>
      <c r="J78" s="805"/>
      <c r="K78" s="806"/>
    </row>
    <row r="79" spans="1:11" s="670" customFormat="1" ht="15" thickBot="1">
      <c r="A79" s="110" t="s">
        <v>214</v>
      </c>
      <c r="B79" s="796">
        <v>158</v>
      </c>
      <c r="C79" s="796">
        <v>136</v>
      </c>
      <c r="D79" s="796">
        <v>93.245</v>
      </c>
      <c r="E79" s="823">
        <f>Haridus!D3/1000</f>
        <v>135.369</v>
      </c>
      <c r="F79" s="796">
        <v>62.286</v>
      </c>
      <c r="G79" s="809"/>
      <c r="H79" s="803"/>
      <c r="I79" s="804"/>
      <c r="J79" s="805"/>
      <c r="K79" s="806"/>
    </row>
    <row r="80" spans="1:10" s="662" customFormat="1" ht="15.75" thickBot="1">
      <c r="A80" s="151" t="s">
        <v>99</v>
      </c>
      <c r="B80" s="794">
        <f>SUM(B81:B90)</f>
        <v>2118</v>
      </c>
      <c r="C80" s="794">
        <f>SUM(C81:C90)</f>
        <v>1983</v>
      </c>
      <c r="D80" s="794">
        <f>SUM(D81:D90)</f>
        <v>1766.293</v>
      </c>
      <c r="E80" s="794">
        <f>SUM(E81:E90)</f>
        <v>441.13740000000007</v>
      </c>
      <c r="F80" s="794">
        <f>SUM(F81:F90)</f>
        <v>1491.2730000000001</v>
      </c>
      <c r="G80" s="694">
        <f>SUM(G82:G90)</f>
        <v>0</v>
      </c>
      <c r="H80" s="695" t="e">
        <f>D80-#REF!</f>
        <v>#REF!</v>
      </c>
      <c r="I80" s="707"/>
      <c r="J80" s="703"/>
    </row>
    <row r="81" spans="1:10" s="662" customFormat="1" ht="15">
      <c r="A81" s="110" t="s">
        <v>1080</v>
      </c>
      <c r="B81" s="796">
        <v>144</v>
      </c>
      <c r="C81" s="796">
        <v>139</v>
      </c>
      <c r="D81" s="792"/>
      <c r="E81" s="792"/>
      <c r="F81" s="792"/>
      <c r="G81" s="698"/>
      <c r="H81" s="739"/>
      <c r="I81" s="707"/>
      <c r="J81" s="703"/>
    </row>
    <row r="82" spans="1:10" ht="14.25">
      <c r="A82" s="110" t="s">
        <v>705</v>
      </c>
      <c r="B82" s="795">
        <v>209</v>
      </c>
      <c r="C82" s="795">
        <v>177</v>
      </c>
      <c r="D82" s="795">
        <v>151.5</v>
      </c>
      <c r="E82" s="821"/>
      <c r="F82" s="795">
        <v>178</v>
      </c>
      <c r="G82" s="773"/>
      <c r="I82" s="707"/>
      <c r="J82" s="702"/>
    </row>
    <row r="83" spans="1:10" ht="14.25">
      <c r="A83" s="110" t="s">
        <v>1081</v>
      </c>
      <c r="B83" s="795">
        <v>71</v>
      </c>
      <c r="C83" s="795">
        <v>71</v>
      </c>
      <c r="D83" s="795">
        <v>44.3</v>
      </c>
      <c r="E83" s="821"/>
      <c r="F83" s="795">
        <v>47.504</v>
      </c>
      <c r="G83" s="774"/>
      <c r="I83" s="707"/>
      <c r="J83" s="702"/>
    </row>
    <row r="84" spans="1:10" ht="14.25">
      <c r="A84" s="110" t="s">
        <v>712</v>
      </c>
      <c r="B84" s="795"/>
      <c r="C84" s="795"/>
      <c r="D84" s="795">
        <v>84.461</v>
      </c>
      <c r="E84" s="821">
        <f>Sots!G4/1000</f>
        <v>59.460899999999995</v>
      </c>
      <c r="F84" s="795">
        <v>82.1</v>
      </c>
      <c r="G84" s="774"/>
      <c r="I84" s="707"/>
      <c r="J84" s="702"/>
    </row>
    <row r="85" spans="1:10" ht="14.25">
      <c r="A85" s="110" t="s">
        <v>264</v>
      </c>
      <c r="B85" s="795">
        <v>569</v>
      </c>
      <c r="C85" s="795">
        <v>602</v>
      </c>
      <c r="D85" s="795">
        <f>583.704-225</f>
        <v>358.70399999999995</v>
      </c>
      <c r="E85" s="821">
        <f>Sots!F4/1000</f>
        <v>249.70374</v>
      </c>
      <c r="F85" s="795">
        <v>345</v>
      </c>
      <c r="G85" s="774"/>
      <c r="I85" s="707"/>
      <c r="J85" s="702"/>
    </row>
    <row r="86" spans="1:10" ht="14.25">
      <c r="A86" s="110" t="s">
        <v>1026</v>
      </c>
      <c r="B86" s="795"/>
      <c r="C86" s="795"/>
      <c r="D86" s="795">
        <v>225</v>
      </c>
      <c r="E86" s="821"/>
      <c r="F86" s="795">
        <v>150</v>
      </c>
      <c r="G86" s="774"/>
      <c r="I86" s="707">
        <v>75</v>
      </c>
      <c r="J86" s="702"/>
    </row>
    <row r="87" spans="1:10" ht="14.25">
      <c r="A87" s="110" t="s">
        <v>1024</v>
      </c>
      <c r="B87" s="795">
        <v>135</v>
      </c>
      <c r="C87" s="795">
        <v>127</v>
      </c>
      <c r="D87" s="795">
        <f>25+84.856</f>
        <v>109.856</v>
      </c>
      <c r="E87" s="821"/>
      <c r="F87" s="795">
        <f>21.2+84.37</f>
        <v>105.57000000000001</v>
      </c>
      <c r="G87" s="774"/>
      <c r="I87" s="707"/>
      <c r="J87" s="702"/>
    </row>
    <row r="88" spans="1:10" ht="14.25">
      <c r="A88" s="110" t="s">
        <v>228</v>
      </c>
      <c r="B88" s="795">
        <v>70</v>
      </c>
      <c r="C88" s="795">
        <v>40</v>
      </c>
      <c r="D88" s="795"/>
      <c r="E88" s="821"/>
      <c r="F88" s="795"/>
      <c r="G88" s="774"/>
      <c r="I88" s="707"/>
      <c r="J88" s="702"/>
    </row>
    <row r="89" spans="1:10" ht="14.25">
      <c r="A89" s="110" t="s">
        <v>28</v>
      </c>
      <c r="B89" s="795">
        <v>738</v>
      </c>
      <c r="C89" s="795">
        <v>640</v>
      </c>
      <c r="D89" s="795">
        <f>Sots!H52/1000</f>
        <v>639</v>
      </c>
      <c r="E89" s="821"/>
      <c r="F89" s="795">
        <f>463.427</f>
        <v>463.427</v>
      </c>
      <c r="G89" s="774"/>
      <c r="I89" s="706">
        <v>171.797</v>
      </c>
      <c r="J89" s="702"/>
    </row>
    <row r="90" spans="1:10" ht="14.25">
      <c r="A90" s="110" t="s">
        <v>232</v>
      </c>
      <c r="B90" s="795">
        <v>182</v>
      </c>
      <c r="C90" s="795">
        <v>187</v>
      </c>
      <c r="D90" s="795">
        <v>153.472</v>
      </c>
      <c r="E90" s="821">
        <f>Sots!E4/1000</f>
        <v>131.97276000000002</v>
      </c>
      <c r="F90" s="795">
        <v>119.672</v>
      </c>
      <c r="G90" s="775"/>
      <c r="I90" s="702"/>
      <c r="J90" s="702"/>
    </row>
    <row r="91" spans="1:10" ht="15.75" thickBot="1">
      <c r="A91" s="151" t="s">
        <v>1082</v>
      </c>
      <c r="B91" s="794">
        <v>166</v>
      </c>
      <c r="C91" s="794"/>
      <c r="D91" s="794"/>
      <c r="E91" s="826"/>
      <c r="F91" s="794"/>
      <c r="G91" s="730"/>
      <c r="I91" s="702"/>
      <c r="J91" s="702"/>
    </row>
    <row r="92" spans="1:10" s="670" customFormat="1" ht="15.75" thickBot="1">
      <c r="A92" s="151" t="s">
        <v>64</v>
      </c>
      <c r="B92" s="792">
        <v>647</v>
      </c>
      <c r="C92" s="792">
        <v>589</v>
      </c>
      <c r="D92" s="792">
        <f>D93</f>
        <v>691.3820000000001</v>
      </c>
      <c r="E92" s="796">
        <f>E93</f>
        <v>0</v>
      </c>
      <c r="F92" s="792">
        <f>F93</f>
        <v>692.814</v>
      </c>
      <c r="G92" s="668">
        <f>G93</f>
        <v>0</v>
      </c>
      <c r="H92" s="669" t="e">
        <f>D92-#REF!</f>
        <v>#REF!</v>
      </c>
      <c r="I92" s="708"/>
      <c r="J92" s="708"/>
    </row>
    <row r="93" spans="1:10" ht="15" thickBot="1">
      <c r="A93" s="671" t="s">
        <v>416</v>
      </c>
      <c r="B93" s="831">
        <v>647</v>
      </c>
      <c r="C93" s="831">
        <v>589</v>
      </c>
      <c r="D93" s="831">
        <f>SUM(D94:D95)</f>
        <v>691.3820000000001</v>
      </c>
      <c r="E93" s="832"/>
      <c r="F93" s="831">
        <v>692.814</v>
      </c>
      <c r="G93" s="781"/>
      <c r="H93" s="661"/>
      <c r="I93" s="698">
        <f>SUM(I5:I92)</f>
        <v>446.797</v>
      </c>
      <c r="J93" s="698">
        <f>SUM(J5:J92)</f>
        <v>110.5</v>
      </c>
    </row>
    <row r="94" spans="1:10" ht="15" hidden="1">
      <c r="A94" s="671"/>
      <c r="B94" s="797"/>
      <c r="C94" s="797"/>
      <c r="D94" s="827">
        <v>30.47</v>
      </c>
      <c r="E94" s="828"/>
      <c r="F94" s="828">
        <v>30.47</v>
      </c>
      <c r="G94" s="782"/>
      <c r="I94" s="699"/>
      <c r="J94" s="699"/>
    </row>
    <row r="95" spans="1:10" ht="15" hidden="1">
      <c r="A95" s="671"/>
      <c r="B95" s="797"/>
      <c r="C95" s="797"/>
      <c r="D95" s="827">
        <v>660.912</v>
      </c>
      <c r="E95" s="828"/>
      <c r="F95" s="828">
        <v>472.131</v>
      </c>
      <c r="G95" s="783"/>
      <c r="I95" s="699"/>
      <c r="J95" s="699"/>
    </row>
    <row r="96" spans="1:12" ht="15">
      <c r="A96" s="699"/>
      <c r="B96" s="798"/>
      <c r="C96" s="798"/>
      <c r="D96" s="829"/>
      <c r="E96" s="798"/>
      <c r="F96" s="798"/>
      <c r="L96" s="659"/>
    </row>
    <row r="97" spans="1:6" ht="15">
      <c r="A97" s="800" t="s">
        <v>1085</v>
      </c>
      <c r="B97" s="792">
        <f>B92+B3</f>
        <v>21460</v>
      </c>
      <c r="C97" s="792">
        <f>C92+C3</f>
        <v>20180</v>
      </c>
      <c r="D97" s="792">
        <f>D92+D3</f>
        <v>19032.931</v>
      </c>
      <c r="E97" s="792">
        <f>E92+E3</f>
        <v>4343.24635</v>
      </c>
      <c r="F97" s="792">
        <f>F92+F3</f>
        <v>18764.502999999997</v>
      </c>
    </row>
    <row r="98" spans="1:12" ht="15">
      <c r="A98" s="699"/>
      <c r="B98" s="786"/>
      <c r="C98" s="786"/>
      <c r="D98" s="698"/>
      <c r="E98" s="799"/>
      <c r="F98" s="699"/>
      <c r="L98" s="659"/>
    </row>
    <row r="99" spans="1:6" ht="14.25" hidden="1">
      <c r="A99" s="699"/>
      <c r="B99" s="798"/>
      <c r="C99" s="798"/>
      <c r="D99" s="800"/>
      <c r="E99" s="799"/>
      <c r="F99" s="699"/>
    </row>
    <row r="100" spans="1:6" ht="14.25" hidden="1">
      <c r="A100" s="699"/>
      <c r="B100" s="798"/>
      <c r="C100" s="798"/>
      <c r="D100" s="801">
        <f>D4/D3</f>
        <v>0.07875174555867664</v>
      </c>
      <c r="E100" s="799"/>
      <c r="F100" s="699"/>
    </row>
    <row r="101" spans="1:6" ht="14.25" hidden="1">
      <c r="A101" s="699"/>
      <c r="B101" s="798"/>
      <c r="C101" s="798"/>
      <c r="D101" s="801">
        <f>D14/D3</f>
        <v>0.0865069793178319</v>
      </c>
      <c r="E101" s="799"/>
      <c r="F101" s="699"/>
    </row>
    <row r="102" spans="1:6" ht="14.25" hidden="1">
      <c r="A102" s="699"/>
      <c r="B102" s="798"/>
      <c r="C102" s="798"/>
      <c r="D102" s="801">
        <f>D23/D3</f>
        <v>0.015542962047534808</v>
      </c>
      <c r="E102" s="799"/>
      <c r="F102" s="699"/>
    </row>
    <row r="103" spans="1:6" ht="14.25" hidden="1">
      <c r="A103" s="699"/>
      <c r="B103" s="798"/>
      <c r="C103" s="798"/>
      <c r="D103" s="801">
        <f>D27/D3</f>
        <v>0.03770744771883771</v>
      </c>
      <c r="E103" s="799"/>
      <c r="F103" s="699"/>
    </row>
    <row r="104" spans="1:6" ht="14.25" hidden="1">
      <c r="A104" s="699"/>
      <c r="B104" s="798"/>
      <c r="C104" s="798"/>
      <c r="D104" s="801">
        <f>D34/D3</f>
        <v>0.001417546576900348</v>
      </c>
      <c r="E104" s="799"/>
      <c r="F104" s="699"/>
    </row>
    <row r="105" spans="1:6" ht="14.25" hidden="1">
      <c r="A105" s="699"/>
      <c r="B105" s="798"/>
      <c r="C105" s="798"/>
      <c r="D105" s="801">
        <f>D36/D3</f>
        <v>0.11461420188665637</v>
      </c>
      <c r="E105" s="799"/>
      <c r="F105" s="699"/>
    </row>
    <row r="106" spans="1:6" ht="14.25" hidden="1">
      <c r="A106" s="699"/>
      <c r="B106" s="798"/>
      <c r="C106" s="798"/>
      <c r="D106" s="801">
        <f>D58/D3</f>
        <v>0.5691590170492145</v>
      </c>
      <c r="E106" s="799"/>
      <c r="F106" s="699"/>
    </row>
    <row r="107" spans="1:6" ht="12" customHeight="1" hidden="1">
      <c r="A107" s="699"/>
      <c r="B107" s="798"/>
      <c r="C107" s="798"/>
      <c r="D107" s="801">
        <f>D80/D3</f>
        <v>0.09630009984434794</v>
      </c>
      <c r="E107" s="799"/>
      <c r="F107" s="699"/>
    </row>
    <row r="108" spans="1:6" ht="14.25" hidden="1">
      <c r="A108" s="699"/>
      <c r="B108" s="798"/>
      <c r="C108" s="798"/>
      <c r="D108" s="801">
        <f>D92/D3</f>
        <v>0.03769485336271217</v>
      </c>
      <c r="E108" s="799"/>
      <c r="F108" s="699"/>
    </row>
    <row r="109" spans="1:6" ht="14.25" hidden="1">
      <c r="A109" s="699"/>
      <c r="B109" s="798"/>
      <c r="C109" s="798"/>
      <c r="D109" s="802">
        <f>SUM(D100:D108)</f>
        <v>1.0376948533627124</v>
      </c>
      <c r="E109" s="799"/>
      <c r="F109" s="699"/>
    </row>
    <row r="110" spans="1:6" ht="14.25">
      <c r="A110" s="699"/>
      <c r="B110" s="798"/>
      <c r="C110" s="798"/>
      <c r="D110" s="771"/>
      <c r="E110" s="799"/>
      <c r="F110" s="699"/>
    </row>
    <row r="111" spans="1:6" ht="14.25">
      <c r="A111" s="800" t="s">
        <v>1094</v>
      </c>
      <c r="B111" s="798"/>
      <c r="C111" s="798"/>
      <c r="D111" s="771"/>
      <c r="E111" s="799"/>
      <c r="F111" s="699"/>
    </row>
    <row r="112" spans="1:6" ht="14.25">
      <c r="A112" s="699"/>
      <c r="B112" s="798"/>
      <c r="C112" s="798"/>
      <c r="D112" s="771"/>
      <c r="E112" s="799"/>
      <c r="F112" s="699"/>
    </row>
    <row r="113" spans="1:6" ht="14.25">
      <c r="A113" s="699"/>
      <c r="B113" s="798"/>
      <c r="C113" s="798"/>
      <c r="D113" s="771"/>
      <c r="E113" s="799"/>
      <c r="F113" s="699"/>
    </row>
    <row r="114" spans="1:6" ht="14.25">
      <c r="A114" s="699"/>
      <c r="B114" s="798"/>
      <c r="C114" s="798"/>
      <c r="D114" s="771"/>
      <c r="E114" s="799"/>
      <c r="F114" s="699"/>
    </row>
    <row r="115" spans="1:6" ht="14.25">
      <c r="A115" s="699"/>
      <c r="B115" s="798"/>
      <c r="C115" s="798"/>
      <c r="D115" s="771"/>
      <c r="E115" s="799"/>
      <c r="F115" s="699"/>
    </row>
    <row r="116" spans="1:6" ht="14.25">
      <c r="A116" s="699"/>
      <c r="B116" s="798"/>
      <c r="C116" s="798"/>
      <c r="D116" s="771"/>
      <c r="E116" s="799"/>
      <c r="F116" s="699"/>
    </row>
    <row r="117" spans="1:6" ht="14.25">
      <c r="A117" s="699"/>
      <c r="B117" s="798"/>
      <c r="C117" s="798"/>
      <c r="D117" s="771"/>
      <c r="E117" s="799"/>
      <c r="F117" s="699"/>
    </row>
    <row r="118" spans="1:6" ht="14.25">
      <c r="A118" s="699"/>
      <c r="B118" s="798"/>
      <c r="C118" s="798"/>
      <c r="D118" s="771"/>
      <c r="E118" s="799"/>
      <c r="F118" s="699"/>
    </row>
    <row r="119" spans="1:6" ht="14.25">
      <c r="A119" s="699"/>
      <c r="B119" s="798"/>
      <c r="C119" s="798"/>
      <c r="D119" s="771"/>
      <c r="E119" s="799"/>
      <c r="F119" s="699"/>
    </row>
    <row r="120" spans="1:6" ht="14.25">
      <c r="A120" s="699"/>
      <c r="B120" s="798"/>
      <c r="C120" s="798"/>
      <c r="D120" s="771"/>
      <c r="E120" s="799"/>
      <c r="F120" s="699"/>
    </row>
    <row r="121" spans="1:6" ht="14.25">
      <c r="A121" s="699"/>
      <c r="B121" s="798"/>
      <c r="C121" s="798"/>
      <c r="D121" s="771"/>
      <c r="E121" s="799"/>
      <c r="F121" s="699"/>
    </row>
    <row r="122" spans="1:6" ht="14.25">
      <c r="A122" s="699"/>
      <c r="B122" s="798"/>
      <c r="C122" s="798"/>
      <c r="D122" s="771"/>
      <c r="E122" s="799"/>
      <c r="F122" s="699"/>
    </row>
    <row r="123" spans="1:6" ht="14.25">
      <c r="A123" s="699"/>
      <c r="B123" s="798"/>
      <c r="C123" s="798"/>
      <c r="D123" s="771"/>
      <c r="E123" s="799"/>
      <c r="F123" s="699"/>
    </row>
    <row r="124" spans="1:6" ht="14.25">
      <c r="A124" s="699"/>
      <c r="B124" s="798"/>
      <c r="C124" s="798"/>
      <c r="D124" s="771"/>
      <c r="E124" s="799"/>
      <c r="F124" s="699"/>
    </row>
    <row r="125" spans="1:6" ht="14.25">
      <c r="A125" s="699"/>
      <c r="B125" s="798"/>
      <c r="C125" s="798"/>
      <c r="D125" s="771"/>
      <c r="E125" s="799"/>
      <c r="F125" s="699"/>
    </row>
    <row r="126" spans="1:6" ht="14.25">
      <c r="A126" s="699"/>
      <c r="B126" s="798"/>
      <c r="C126" s="798"/>
      <c r="D126" s="771"/>
      <c r="E126" s="799"/>
      <c r="F126" s="699"/>
    </row>
    <row r="127" spans="1:6" ht="14.25">
      <c r="A127" s="699"/>
      <c r="B127" s="798"/>
      <c r="C127" s="798"/>
      <c r="D127" s="771"/>
      <c r="E127" s="799"/>
      <c r="F127" s="699"/>
    </row>
    <row r="128" spans="1:6" ht="14.25">
      <c r="A128" s="699"/>
      <c r="B128" s="798"/>
      <c r="C128" s="798"/>
      <c r="D128" s="771"/>
      <c r="E128" s="799"/>
      <c r="F128" s="699"/>
    </row>
    <row r="129" spans="1:6" ht="14.25">
      <c r="A129" s="699"/>
      <c r="B129" s="798"/>
      <c r="C129" s="798"/>
      <c r="D129" s="771"/>
      <c r="E129" s="799"/>
      <c r="F129" s="699"/>
    </row>
    <row r="130" spans="1:6" ht="14.25">
      <c r="A130" s="699"/>
      <c r="B130" s="798"/>
      <c r="C130" s="798"/>
      <c r="D130" s="771"/>
      <c r="E130" s="799"/>
      <c r="F130" s="699"/>
    </row>
    <row r="131" spans="1:6" ht="14.25">
      <c r="A131" s="699"/>
      <c r="B131" s="798"/>
      <c r="C131" s="798"/>
      <c r="D131" s="771"/>
      <c r="E131" s="799"/>
      <c r="F131" s="699"/>
    </row>
    <row r="132" spans="1:6" ht="14.25">
      <c r="A132" s="699"/>
      <c r="B132" s="798"/>
      <c r="C132" s="798"/>
      <c r="D132" s="771"/>
      <c r="E132" s="799"/>
      <c r="F132" s="699"/>
    </row>
    <row r="133" spans="1:6" ht="14.25">
      <c r="A133" s="699"/>
      <c r="B133" s="798"/>
      <c r="C133" s="798"/>
      <c r="D133" s="771"/>
      <c r="E133" s="799"/>
      <c r="F133" s="699"/>
    </row>
    <row r="134" spans="1:6" ht="14.25">
      <c r="A134" s="699"/>
      <c r="B134" s="798"/>
      <c r="C134" s="798"/>
      <c r="D134" s="771"/>
      <c r="E134" s="799"/>
      <c r="F134" s="699"/>
    </row>
    <row r="135" spans="1:6" ht="14.25">
      <c r="A135" s="699"/>
      <c r="B135" s="798"/>
      <c r="C135" s="798"/>
      <c r="D135" s="771"/>
      <c r="E135" s="799"/>
      <c r="F135" s="699"/>
    </row>
    <row r="136" spans="1:6" ht="14.25">
      <c r="A136" s="699"/>
      <c r="B136" s="798"/>
      <c r="C136" s="798"/>
      <c r="D136" s="771"/>
      <c r="E136" s="799"/>
      <c r="F136" s="699"/>
    </row>
    <row r="137" spans="1:6" ht="14.25">
      <c r="A137" s="699"/>
      <c r="B137" s="798"/>
      <c r="C137" s="798"/>
      <c r="D137" s="771"/>
      <c r="E137" s="799"/>
      <c r="F137" s="699"/>
    </row>
    <row r="138" spans="1:6" ht="14.25">
      <c r="A138" s="699"/>
      <c r="B138" s="798"/>
      <c r="C138" s="798"/>
      <c r="D138" s="771"/>
      <c r="E138" s="799"/>
      <c r="F138" s="699"/>
    </row>
    <row r="139" spans="1:6" ht="14.25">
      <c r="A139" s="699"/>
      <c r="B139" s="798"/>
      <c r="C139" s="798"/>
      <c r="D139" s="771"/>
      <c r="E139" s="799"/>
      <c r="F139" s="699"/>
    </row>
    <row r="140" spans="1:6" ht="14.25">
      <c r="A140" s="699"/>
      <c r="B140" s="798"/>
      <c r="C140" s="798"/>
      <c r="D140" s="771"/>
      <c r="E140" s="799"/>
      <c r="F140" s="699"/>
    </row>
    <row r="141" spans="1:6" ht="14.25">
      <c r="A141" s="699"/>
      <c r="B141" s="798"/>
      <c r="C141" s="798"/>
      <c r="D141" s="771"/>
      <c r="E141" s="799"/>
      <c r="F141" s="699"/>
    </row>
    <row r="142" spans="1:6" ht="14.25">
      <c r="A142" s="699"/>
      <c r="B142" s="798"/>
      <c r="C142" s="798"/>
      <c r="D142" s="771"/>
      <c r="E142" s="799"/>
      <c r="F142" s="699"/>
    </row>
    <row r="143" spans="1:6" ht="14.25">
      <c r="A143" s="699"/>
      <c r="B143" s="798"/>
      <c r="C143" s="798"/>
      <c r="D143" s="771"/>
      <c r="E143" s="799"/>
      <c r="F143" s="699"/>
    </row>
    <row r="144" spans="1:6" ht="14.25">
      <c r="A144" s="699"/>
      <c r="B144" s="798"/>
      <c r="C144" s="798"/>
      <c r="D144" s="771"/>
      <c r="E144" s="799"/>
      <c r="F144" s="699"/>
    </row>
    <row r="145" spans="1:6" ht="14.25">
      <c r="A145" s="699"/>
      <c r="B145" s="798"/>
      <c r="C145" s="798"/>
      <c r="D145" s="771"/>
      <c r="E145" s="799"/>
      <c r="F145" s="699"/>
    </row>
    <row r="146" spans="1:6" ht="14.25">
      <c r="A146" s="699"/>
      <c r="B146" s="798"/>
      <c r="C146" s="798"/>
      <c r="D146" s="771"/>
      <c r="E146" s="799"/>
      <c r="F146" s="699"/>
    </row>
    <row r="147" spans="1:6" ht="14.25">
      <c r="A147" s="699"/>
      <c r="B147" s="798"/>
      <c r="C147" s="798"/>
      <c r="D147" s="771"/>
      <c r="E147" s="799"/>
      <c r="F147" s="699"/>
    </row>
    <row r="148" spans="1:6" ht="14.25">
      <c r="A148" s="699"/>
      <c r="B148" s="798"/>
      <c r="C148" s="798"/>
      <c r="D148" s="771"/>
      <c r="E148" s="799"/>
      <c r="F148" s="699"/>
    </row>
    <row r="149" spans="1:6" ht="14.25">
      <c r="A149" s="699"/>
      <c r="B149" s="798"/>
      <c r="C149" s="798"/>
      <c r="D149" s="771"/>
      <c r="E149" s="799"/>
      <c r="F149" s="699"/>
    </row>
    <row r="150" spans="1:6" ht="14.25">
      <c r="A150" s="699"/>
      <c r="B150" s="798"/>
      <c r="C150" s="798"/>
      <c r="D150" s="771"/>
      <c r="E150" s="799"/>
      <c r="F150" s="699"/>
    </row>
    <row r="151" spans="1:6" ht="14.25">
      <c r="A151" s="699"/>
      <c r="B151" s="798"/>
      <c r="C151" s="798"/>
      <c r="D151" s="771"/>
      <c r="E151" s="799"/>
      <c r="F151" s="699"/>
    </row>
    <row r="152" spans="1:6" ht="14.25">
      <c r="A152" s="699"/>
      <c r="B152" s="798"/>
      <c r="C152" s="798"/>
      <c r="D152" s="771"/>
      <c r="E152" s="799"/>
      <c r="F152" s="699"/>
    </row>
    <row r="153" spans="1:6" ht="14.25">
      <c r="A153" s="699"/>
      <c r="B153" s="798"/>
      <c r="C153" s="798"/>
      <c r="D153" s="771"/>
      <c r="E153" s="799"/>
      <c r="F153" s="699"/>
    </row>
    <row r="154" spans="1:6" ht="14.25">
      <c r="A154" s="699"/>
      <c r="B154" s="798"/>
      <c r="C154" s="798"/>
      <c r="D154" s="771"/>
      <c r="E154" s="799"/>
      <c r="F154" s="699"/>
    </row>
    <row r="155" spans="1:6" ht="14.25">
      <c r="A155" s="699"/>
      <c r="B155" s="798"/>
      <c r="C155" s="798"/>
      <c r="D155" s="771"/>
      <c r="E155" s="799"/>
      <c r="F155" s="699"/>
    </row>
    <row r="156" spans="1:6" ht="14.25">
      <c r="A156" s="699"/>
      <c r="B156" s="798"/>
      <c r="C156" s="798"/>
      <c r="D156" s="771"/>
      <c r="E156" s="799"/>
      <c r="F156" s="699"/>
    </row>
    <row r="157" spans="1:6" ht="14.25">
      <c r="A157" s="699"/>
      <c r="B157" s="798"/>
      <c r="C157" s="798"/>
      <c r="D157" s="771"/>
      <c r="E157" s="799"/>
      <c r="F157" s="699"/>
    </row>
    <row r="158" spans="1:6" ht="14.25">
      <c r="A158" s="699"/>
      <c r="B158" s="798"/>
      <c r="C158" s="798"/>
      <c r="D158" s="771"/>
      <c r="E158" s="799"/>
      <c r="F158" s="699"/>
    </row>
    <row r="159" spans="1:6" ht="14.25">
      <c r="A159" s="699"/>
      <c r="B159" s="798"/>
      <c r="C159" s="798"/>
      <c r="D159" s="771"/>
      <c r="E159" s="799"/>
      <c r="F159" s="699"/>
    </row>
    <row r="160" spans="1:6" ht="14.25">
      <c r="A160" s="699"/>
      <c r="B160" s="798"/>
      <c r="C160" s="798"/>
      <c r="D160" s="771"/>
      <c r="E160" s="799"/>
      <c r="F160" s="699"/>
    </row>
    <row r="161" spans="1:6" ht="14.25">
      <c r="A161" s="699"/>
      <c r="B161" s="798"/>
      <c r="C161" s="798"/>
      <c r="D161" s="771"/>
      <c r="E161" s="799"/>
      <c r="F161" s="699"/>
    </row>
    <row r="162" spans="1:6" ht="14.25">
      <c r="A162" s="699"/>
      <c r="B162" s="798"/>
      <c r="C162" s="798"/>
      <c r="D162" s="771"/>
      <c r="E162" s="799"/>
      <c r="F162" s="699"/>
    </row>
    <row r="163" spans="1:6" ht="14.25">
      <c r="A163" s="699"/>
      <c r="B163" s="798"/>
      <c r="C163" s="798"/>
      <c r="D163" s="771"/>
      <c r="E163" s="799"/>
      <c r="F163" s="699"/>
    </row>
    <row r="164" spans="1:6" ht="14.25">
      <c r="A164" s="699"/>
      <c r="B164" s="798"/>
      <c r="C164" s="798"/>
      <c r="D164" s="771"/>
      <c r="E164" s="799"/>
      <c r="F164" s="699"/>
    </row>
    <row r="165" spans="1:6" ht="14.25">
      <c r="A165" s="699"/>
      <c r="B165" s="798"/>
      <c r="C165" s="798"/>
      <c r="D165" s="771"/>
      <c r="E165" s="799"/>
      <c r="F165" s="699"/>
    </row>
    <row r="166" spans="1:6" ht="14.25">
      <c r="A166" s="699"/>
      <c r="B166" s="798"/>
      <c r="C166" s="798"/>
      <c r="D166" s="771"/>
      <c r="E166" s="799"/>
      <c r="F166" s="699"/>
    </row>
    <row r="167" spans="1:6" ht="14.25">
      <c r="A167" s="699"/>
      <c r="B167" s="798"/>
      <c r="C167" s="798"/>
      <c r="D167" s="771"/>
      <c r="E167" s="799"/>
      <c r="F167" s="699"/>
    </row>
    <row r="168" spans="1:6" ht="14.25">
      <c r="A168" s="699"/>
      <c r="B168" s="798"/>
      <c r="C168" s="798"/>
      <c r="D168" s="771"/>
      <c r="E168" s="799"/>
      <c r="F168" s="699"/>
    </row>
    <row r="169" spans="1:6" ht="14.25">
      <c r="A169" s="699"/>
      <c r="B169" s="798"/>
      <c r="C169" s="798"/>
      <c r="D169" s="771"/>
      <c r="E169" s="799"/>
      <c r="F169" s="699"/>
    </row>
    <row r="170" spans="1:6" ht="14.25">
      <c r="A170" s="699"/>
      <c r="B170" s="798"/>
      <c r="C170" s="798"/>
      <c r="D170" s="771"/>
      <c r="E170" s="799"/>
      <c r="F170" s="699"/>
    </row>
    <row r="171" spans="1:6" ht="14.25">
      <c r="A171" s="699"/>
      <c r="B171" s="798"/>
      <c r="C171" s="798"/>
      <c r="D171" s="771"/>
      <c r="E171" s="799"/>
      <c r="F171" s="699"/>
    </row>
    <row r="172" spans="1:6" ht="14.25">
      <c r="A172" s="699"/>
      <c r="B172" s="798"/>
      <c r="C172" s="798"/>
      <c r="D172" s="771"/>
      <c r="E172" s="799"/>
      <c r="F172" s="699"/>
    </row>
    <row r="173" spans="1:6" ht="14.25">
      <c r="A173" s="699"/>
      <c r="B173" s="798"/>
      <c r="C173" s="798"/>
      <c r="D173" s="771"/>
      <c r="E173" s="799"/>
      <c r="F173" s="699"/>
    </row>
    <row r="174" spans="1:6" ht="14.25">
      <c r="A174" s="699"/>
      <c r="B174" s="798"/>
      <c r="C174" s="798"/>
      <c r="D174" s="771"/>
      <c r="E174" s="799"/>
      <c r="F174" s="699"/>
    </row>
    <row r="175" spans="1:6" ht="14.25">
      <c r="A175" s="699"/>
      <c r="B175" s="798"/>
      <c r="C175" s="798"/>
      <c r="D175" s="771"/>
      <c r="E175" s="799"/>
      <c r="F175" s="699"/>
    </row>
    <row r="176" spans="1:6" ht="14.25">
      <c r="A176" s="699"/>
      <c r="B176" s="798"/>
      <c r="C176" s="798"/>
      <c r="D176" s="771"/>
      <c r="E176" s="799"/>
      <c r="F176" s="699"/>
    </row>
    <row r="177" spans="1:6" ht="14.25">
      <c r="A177" s="699"/>
      <c r="B177" s="798"/>
      <c r="C177" s="798"/>
      <c r="D177" s="771"/>
      <c r="E177" s="799"/>
      <c r="F177" s="699"/>
    </row>
    <row r="178" spans="1:6" ht="14.25">
      <c r="A178" s="699"/>
      <c r="B178" s="798"/>
      <c r="C178" s="798"/>
      <c r="D178" s="771"/>
      <c r="E178" s="799"/>
      <c r="F178" s="699"/>
    </row>
    <row r="179" spans="1:6" ht="14.25">
      <c r="A179" s="699"/>
      <c r="B179" s="798"/>
      <c r="C179" s="798"/>
      <c r="D179" s="771"/>
      <c r="E179" s="799"/>
      <c r="F179" s="699"/>
    </row>
    <row r="180" spans="1:6" ht="14.25">
      <c r="A180" s="699"/>
      <c r="B180" s="798"/>
      <c r="C180" s="798"/>
      <c r="D180" s="771"/>
      <c r="E180" s="799"/>
      <c r="F180" s="699"/>
    </row>
    <row r="181" spans="1:6" ht="14.25">
      <c r="A181" s="699"/>
      <c r="B181" s="798"/>
      <c r="C181" s="798"/>
      <c r="D181" s="771"/>
      <c r="E181" s="799"/>
      <c r="F181" s="699"/>
    </row>
    <row r="182" spans="1:6" ht="14.25">
      <c r="A182" s="699"/>
      <c r="B182" s="798"/>
      <c r="C182" s="798"/>
      <c r="D182" s="771"/>
      <c r="E182" s="799"/>
      <c r="F182" s="699"/>
    </row>
    <row r="183" spans="1:6" ht="14.25">
      <c r="A183" s="699"/>
      <c r="B183" s="798"/>
      <c r="C183" s="798"/>
      <c r="D183" s="771"/>
      <c r="E183" s="799"/>
      <c r="F183" s="699"/>
    </row>
    <row r="184" spans="1:6" ht="14.25">
      <c r="A184" s="699"/>
      <c r="B184" s="798"/>
      <c r="C184" s="798"/>
      <c r="D184" s="771"/>
      <c r="E184" s="799"/>
      <c r="F184" s="699"/>
    </row>
    <row r="185" spans="1:6" ht="14.25">
      <c r="A185" s="699"/>
      <c r="B185" s="798"/>
      <c r="C185" s="798"/>
      <c r="D185" s="771"/>
      <c r="E185" s="799"/>
      <c r="F185" s="699"/>
    </row>
    <row r="186" spans="1:6" ht="14.25">
      <c r="A186" s="699"/>
      <c r="B186" s="798"/>
      <c r="C186" s="798"/>
      <c r="D186" s="771"/>
      <c r="E186" s="799"/>
      <c r="F186" s="699"/>
    </row>
    <row r="187" spans="1:6" ht="14.25">
      <c r="A187" s="699"/>
      <c r="B187" s="798"/>
      <c r="C187" s="798"/>
      <c r="D187" s="771"/>
      <c r="E187" s="799"/>
      <c r="F187" s="699"/>
    </row>
    <row r="188" spans="1:6" ht="14.25">
      <c r="A188" s="699"/>
      <c r="B188" s="798"/>
      <c r="C188" s="798"/>
      <c r="D188" s="771"/>
      <c r="E188" s="799"/>
      <c r="F188" s="699"/>
    </row>
    <row r="189" spans="1:6" ht="14.25">
      <c r="A189" s="699"/>
      <c r="B189" s="798"/>
      <c r="C189" s="798"/>
      <c r="D189" s="771"/>
      <c r="E189" s="799"/>
      <c r="F189" s="699"/>
    </row>
    <row r="190" spans="1:6" ht="14.25">
      <c r="A190" s="699"/>
      <c r="B190" s="798"/>
      <c r="C190" s="798"/>
      <c r="D190" s="771"/>
      <c r="E190" s="799"/>
      <c r="F190" s="699"/>
    </row>
    <row r="191" spans="1:6" ht="14.25">
      <c r="A191" s="699"/>
      <c r="B191" s="798"/>
      <c r="C191" s="798"/>
      <c r="D191" s="771"/>
      <c r="E191" s="799"/>
      <c r="F191" s="699"/>
    </row>
    <row r="192" spans="1:6" ht="14.25">
      <c r="A192" s="699"/>
      <c r="B192" s="798"/>
      <c r="C192" s="798"/>
      <c r="D192" s="771"/>
      <c r="E192" s="799"/>
      <c r="F192" s="699"/>
    </row>
    <row r="193" spans="1:6" ht="14.25">
      <c r="A193" s="699"/>
      <c r="B193" s="798"/>
      <c r="C193" s="798"/>
      <c r="D193" s="771"/>
      <c r="E193" s="799"/>
      <c r="F193" s="699"/>
    </row>
    <row r="194" spans="1:6" ht="14.25">
      <c r="A194" s="699"/>
      <c r="B194" s="798"/>
      <c r="C194" s="798"/>
      <c r="D194" s="771"/>
      <c r="E194" s="799"/>
      <c r="F194" s="699"/>
    </row>
    <row r="195" spans="1:6" ht="14.25">
      <c r="A195" s="699"/>
      <c r="B195" s="798"/>
      <c r="C195" s="798"/>
      <c r="D195" s="771"/>
      <c r="E195" s="799"/>
      <c r="F195" s="699"/>
    </row>
    <row r="196" spans="1:6" ht="14.25">
      <c r="A196" s="699"/>
      <c r="B196" s="798"/>
      <c r="C196" s="798"/>
      <c r="D196" s="771"/>
      <c r="E196" s="799"/>
      <c r="F196" s="699"/>
    </row>
    <row r="197" spans="1:6" ht="14.25">
      <c r="A197" s="699"/>
      <c r="B197" s="798"/>
      <c r="C197" s="798"/>
      <c r="D197" s="771"/>
      <c r="E197" s="799"/>
      <c r="F197" s="699"/>
    </row>
    <row r="198" spans="1:6" ht="14.25">
      <c r="A198" s="699"/>
      <c r="B198" s="798"/>
      <c r="C198" s="798"/>
      <c r="D198" s="771"/>
      <c r="E198" s="799"/>
      <c r="F198" s="699"/>
    </row>
    <row r="199" spans="1:6" ht="14.25">
      <c r="A199" s="699"/>
      <c r="B199" s="798"/>
      <c r="C199" s="798"/>
      <c r="D199" s="771"/>
      <c r="E199" s="799"/>
      <c r="F199" s="699"/>
    </row>
    <row r="200" spans="1:6" ht="14.25">
      <c r="A200" s="699"/>
      <c r="B200" s="798"/>
      <c r="C200" s="798"/>
      <c r="D200" s="771"/>
      <c r="E200" s="799"/>
      <c r="F200" s="699"/>
    </row>
    <row r="201" spans="1:6" ht="14.25">
      <c r="A201" s="699"/>
      <c r="B201" s="798"/>
      <c r="C201" s="798"/>
      <c r="D201" s="771"/>
      <c r="E201" s="799"/>
      <c r="F201" s="699"/>
    </row>
    <row r="202" spans="1:6" ht="14.25">
      <c r="A202" s="699"/>
      <c r="B202" s="798"/>
      <c r="C202" s="798"/>
      <c r="D202" s="771"/>
      <c r="E202" s="799"/>
      <c r="F202" s="699"/>
    </row>
    <row r="203" spans="1:6" ht="14.25">
      <c r="A203" s="699"/>
      <c r="B203" s="798"/>
      <c r="C203" s="798"/>
      <c r="D203" s="771"/>
      <c r="E203" s="799"/>
      <c r="F203" s="699"/>
    </row>
    <row r="204" spans="1:6" ht="14.25">
      <c r="A204" s="699"/>
      <c r="B204" s="798"/>
      <c r="C204" s="798"/>
      <c r="D204" s="771"/>
      <c r="E204" s="799"/>
      <c r="F204" s="699"/>
    </row>
    <row r="205" spans="1:6" ht="14.25">
      <c r="A205" s="699"/>
      <c r="B205" s="798"/>
      <c r="C205" s="798"/>
      <c r="D205" s="771"/>
      <c r="E205" s="799"/>
      <c r="F205" s="699"/>
    </row>
    <row r="206" spans="1:6" ht="14.25">
      <c r="A206" s="699"/>
      <c r="B206" s="798"/>
      <c r="C206" s="798"/>
      <c r="D206" s="771"/>
      <c r="E206" s="799"/>
      <c r="F206" s="699"/>
    </row>
    <row r="207" spans="1:6" ht="14.25">
      <c r="A207" s="699"/>
      <c r="B207" s="798"/>
      <c r="C207" s="798"/>
      <c r="D207" s="771"/>
      <c r="E207" s="799"/>
      <c r="F207" s="699"/>
    </row>
    <row r="208" spans="1:6" ht="14.25">
      <c r="A208" s="699"/>
      <c r="B208" s="798"/>
      <c r="C208" s="798"/>
      <c r="D208" s="771"/>
      <c r="E208" s="799"/>
      <c r="F208" s="699"/>
    </row>
    <row r="209" spans="1:6" ht="14.25">
      <c r="A209" s="699"/>
      <c r="B209" s="798"/>
      <c r="C209" s="798"/>
      <c r="D209" s="771"/>
      <c r="E209" s="799"/>
      <c r="F209" s="699"/>
    </row>
    <row r="210" spans="1:6" ht="14.25">
      <c r="A210" s="699"/>
      <c r="B210" s="798"/>
      <c r="C210" s="798"/>
      <c r="D210" s="771"/>
      <c r="E210" s="799"/>
      <c r="F210" s="699"/>
    </row>
    <row r="211" spans="1:6" ht="14.25">
      <c r="A211" s="699"/>
      <c r="B211" s="798"/>
      <c r="C211" s="798"/>
      <c r="D211" s="771"/>
      <c r="E211" s="799"/>
      <c r="F211" s="699"/>
    </row>
    <row r="212" spans="1:6" ht="14.25">
      <c r="A212" s="699"/>
      <c r="B212" s="798"/>
      <c r="C212" s="798"/>
      <c r="D212" s="771"/>
      <c r="E212" s="799"/>
      <c r="F212" s="699"/>
    </row>
    <row r="213" spans="1:6" ht="14.25">
      <c r="A213" s="699"/>
      <c r="B213" s="798"/>
      <c r="C213" s="798"/>
      <c r="D213" s="771"/>
      <c r="E213" s="799"/>
      <c r="F213" s="699"/>
    </row>
    <row r="214" spans="1:6" ht="14.25">
      <c r="A214" s="699"/>
      <c r="B214" s="798"/>
      <c r="C214" s="798"/>
      <c r="D214" s="771"/>
      <c r="E214" s="799"/>
      <c r="F214" s="699"/>
    </row>
    <row r="215" spans="1:6" ht="14.25">
      <c r="A215" s="699"/>
      <c r="B215" s="798"/>
      <c r="C215" s="798"/>
      <c r="D215" s="771"/>
      <c r="E215" s="799"/>
      <c r="F215" s="699"/>
    </row>
    <row r="216" spans="1:6" ht="14.25">
      <c r="A216" s="699"/>
      <c r="B216" s="798"/>
      <c r="C216" s="798"/>
      <c r="D216" s="771"/>
      <c r="E216" s="799"/>
      <c r="F216" s="699"/>
    </row>
    <row r="217" spans="1:6" ht="14.25">
      <c r="A217" s="699"/>
      <c r="B217" s="798"/>
      <c r="C217" s="798"/>
      <c r="D217" s="771"/>
      <c r="E217" s="799"/>
      <c r="F217" s="699"/>
    </row>
    <row r="218" spans="1:6" ht="14.25">
      <c r="A218" s="699"/>
      <c r="B218" s="798"/>
      <c r="C218" s="798"/>
      <c r="D218" s="771"/>
      <c r="E218" s="799"/>
      <c r="F218" s="699"/>
    </row>
    <row r="219" spans="1:6" ht="14.25">
      <c r="A219" s="699"/>
      <c r="B219" s="798"/>
      <c r="C219" s="798"/>
      <c r="D219" s="771"/>
      <c r="E219" s="799"/>
      <c r="F219" s="699"/>
    </row>
    <row r="220" spans="1:6" ht="14.25">
      <c r="A220" s="699"/>
      <c r="B220" s="798"/>
      <c r="C220" s="798"/>
      <c r="D220" s="771"/>
      <c r="E220" s="799"/>
      <c r="F220" s="699"/>
    </row>
    <row r="221" spans="1:6" ht="14.25">
      <c r="A221" s="699"/>
      <c r="B221" s="798"/>
      <c r="C221" s="798"/>
      <c r="D221" s="771"/>
      <c r="E221" s="799"/>
      <c r="F221" s="699"/>
    </row>
    <row r="222" spans="1:6" ht="14.25">
      <c r="A222" s="699"/>
      <c r="B222" s="798"/>
      <c r="C222" s="798"/>
      <c r="D222" s="771"/>
      <c r="E222" s="799"/>
      <c r="F222" s="699"/>
    </row>
    <row r="223" spans="1:6" ht="14.25">
      <c r="A223" s="699"/>
      <c r="B223" s="798"/>
      <c r="C223" s="798"/>
      <c r="D223" s="771"/>
      <c r="E223" s="799"/>
      <c r="F223" s="699"/>
    </row>
    <row r="224" spans="1:6" ht="14.25">
      <c r="A224" s="699"/>
      <c r="B224" s="798"/>
      <c r="C224" s="798"/>
      <c r="D224" s="771"/>
      <c r="E224" s="799"/>
      <c r="F224" s="699"/>
    </row>
    <row r="225" spans="1:6" ht="14.25">
      <c r="A225" s="699"/>
      <c r="B225" s="798"/>
      <c r="C225" s="798"/>
      <c r="D225" s="771"/>
      <c r="E225" s="799"/>
      <c r="F225" s="699"/>
    </row>
    <row r="226" spans="1:6" ht="14.25">
      <c r="A226" s="699"/>
      <c r="B226" s="798"/>
      <c r="C226" s="798"/>
      <c r="D226" s="771"/>
      <c r="E226" s="799"/>
      <c r="F226" s="699"/>
    </row>
    <row r="227" spans="1:6" ht="14.25">
      <c r="A227" s="699"/>
      <c r="B227" s="798"/>
      <c r="C227" s="798"/>
      <c r="D227" s="771"/>
      <c r="E227" s="799"/>
      <c r="F227" s="699"/>
    </row>
    <row r="228" spans="1:6" ht="14.25">
      <c r="A228" s="699"/>
      <c r="B228" s="798"/>
      <c r="C228" s="798"/>
      <c r="D228" s="771"/>
      <c r="E228" s="799"/>
      <c r="F228" s="699"/>
    </row>
    <row r="229" spans="1:6" ht="14.25">
      <c r="A229" s="699"/>
      <c r="B229" s="798"/>
      <c r="C229" s="798"/>
      <c r="D229" s="771"/>
      <c r="E229" s="799"/>
      <c r="F229" s="699"/>
    </row>
    <row r="230" spans="1:6" ht="14.25">
      <c r="A230" s="699"/>
      <c r="B230" s="798"/>
      <c r="C230" s="798"/>
      <c r="D230" s="771"/>
      <c r="E230" s="799"/>
      <c r="F230" s="699"/>
    </row>
    <row r="231" spans="1:6" ht="14.25">
      <c r="A231" s="699"/>
      <c r="B231" s="798"/>
      <c r="C231" s="798"/>
      <c r="D231" s="771"/>
      <c r="E231" s="799"/>
      <c r="F231" s="699"/>
    </row>
    <row r="232" spans="1:6" ht="14.25">
      <c r="A232" s="699"/>
      <c r="B232" s="798"/>
      <c r="C232" s="798"/>
      <c r="D232" s="771"/>
      <c r="E232" s="799"/>
      <c r="F232" s="699"/>
    </row>
    <row r="233" spans="1:6" ht="14.25">
      <c r="A233" s="699"/>
      <c r="B233" s="798"/>
      <c r="C233" s="798"/>
      <c r="D233" s="771"/>
      <c r="E233" s="799"/>
      <c r="F233" s="699"/>
    </row>
    <row r="234" spans="1:6" ht="14.25">
      <c r="A234" s="699"/>
      <c r="B234" s="798"/>
      <c r="C234" s="798"/>
      <c r="D234" s="771"/>
      <c r="E234" s="799"/>
      <c r="F234" s="699"/>
    </row>
    <row r="235" spans="1:6" ht="14.25">
      <c r="A235" s="699"/>
      <c r="B235" s="798"/>
      <c r="C235" s="798"/>
      <c r="D235" s="771"/>
      <c r="E235" s="799"/>
      <c r="F235" s="699"/>
    </row>
    <row r="236" spans="1:6" ht="14.25">
      <c r="A236" s="699"/>
      <c r="B236" s="798"/>
      <c r="C236" s="798"/>
      <c r="D236" s="771"/>
      <c r="E236" s="799"/>
      <c r="F236" s="699"/>
    </row>
    <row r="237" spans="1:6" ht="14.25">
      <c r="A237" s="699"/>
      <c r="B237" s="798"/>
      <c r="C237" s="798"/>
      <c r="D237" s="771"/>
      <c r="E237" s="799"/>
      <c r="F237" s="699"/>
    </row>
    <row r="238" spans="1:6" ht="14.25">
      <c r="A238" s="699"/>
      <c r="B238" s="798"/>
      <c r="C238" s="798"/>
      <c r="D238" s="771"/>
      <c r="E238" s="799"/>
      <c r="F238" s="699"/>
    </row>
    <row r="239" spans="1:6" ht="14.25">
      <c r="A239" s="699"/>
      <c r="B239" s="798"/>
      <c r="C239" s="798"/>
      <c r="D239" s="771"/>
      <c r="E239" s="799"/>
      <c r="F239" s="699"/>
    </row>
    <row r="240" spans="1:6" ht="14.25">
      <c r="A240" s="699"/>
      <c r="B240" s="798"/>
      <c r="C240" s="798"/>
      <c r="D240" s="771"/>
      <c r="E240" s="799"/>
      <c r="F240" s="699"/>
    </row>
    <row r="241" spans="1:6" ht="14.25">
      <c r="A241" s="699"/>
      <c r="B241" s="798"/>
      <c r="C241" s="798"/>
      <c r="D241" s="771"/>
      <c r="E241" s="799"/>
      <c r="F241" s="699"/>
    </row>
    <row r="242" spans="1:6" ht="14.25">
      <c r="A242" s="699"/>
      <c r="B242" s="798"/>
      <c r="C242" s="798"/>
      <c r="D242" s="771"/>
      <c r="E242" s="799"/>
      <c r="F242" s="699"/>
    </row>
    <row r="243" spans="1:6" ht="14.25">
      <c r="A243" s="699"/>
      <c r="B243" s="798"/>
      <c r="C243" s="798"/>
      <c r="D243" s="771"/>
      <c r="E243" s="799"/>
      <c r="F243" s="699"/>
    </row>
  </sheetData>
  <printOptions/>
  <pageMargins left="1.141732283464567" right="0.7480314960629921" top="0.5905511811023623" bottom="0.1968503937007874" header="0.11811023622047245" footer="0.11811023622047245"/>
  <pageSetup horizontalDpi="600" verticalDpi="600" orientation="portrait" paperSize="9" scale="95" r:id="rId1"/>
  <headerFooter alignWithMargins="0">
    <oddFooter>&amp;C12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51"/>
  <sheetViews>
    <sheetView workbookViewId="0" topLeftCell="A3">
      <selection activeCell="A3" sqref="A1:IV16384"/>
    </sheetView>
  </sheetViews>
  <sheetFormatPr defaultColWidth="9.140625" defaultRowHeight="12.75"/>
  <cols>
    <col min="1" max="1" width="4.8515625" style="128" customWidth="1"/>
    <col min="2" max="2" width="4.00390625" style="128" customWidth="1"/>
    <col min="3" max="3" width="3.00390625" style="128" customWidth="1"/>
    <col min="4" max="4" width="2.8515625" style="128" customWidth="1"/>
    <col min="5" max="5" width="47.57421875" style="128" customWidth="1"/>
    <col min="6" max="6" width="8.421875" style="128" hidden="1" customWidth="1"/>
    <col min="7" max="7" width="7.421875" style="128" hidden="1" customWidth="1"/>
    <col min="8" max="8" width="8.421875" style="128" customWidth="1"/>
    <col min="9" max="9" width="10.7109375" style="128" customWidth="1"/>
    <col min="10" max="16384" width="9.140625" style="128" customWidth="1"/>
  </cols>
  <sheetData>
    <row r="1" ht="15.75">
      <c r="I1" s="714" t="s">
        <v>1032</v>
      </c>
    </row>
    <row r="2" ht="18.75">
      <c r="A2" s="655" t="s">
        <v>1029</v>
      </c>
    </row>
    <row r="3" spans="1:9" ht="15.75" customHeight="1">
      <c r="A3" s="110" t="s">
        <v>714</v>
      </c>
      <c r="B3" s="110"/>
      <c r="C3" s="110"/>
      <c r="D3" s="110"/>
      <c r="E3" s="110"/>
      <c r="F3" s="715">
        <v>2003</v>
      </c>
      <c r="G3" s="716" t="s">
        <v>0</v>
      </c>
      <c r="H3" s="717" t="s">
        <v>1030</v>
      </c>
      <c r="I3" s="718" t="s">
        <v>1031</v>
      </c>
    </row>
    <row r="4" spans="1:9" s="654" customFormat="1" ht="15.75">
      <c r="A4" s="372" t="s">
        <v>1</v>
      </c>
      <c r="B4" s="372"/>
      <c r="C4" s="372"/>
      <c r="D4" s="372"/>
      <c r="E4" s="372"/>
      <c r="F4" s="719" t="e">
        <f>F5+F8+F33+F52</f>
        <v>#REF!</v>
      </c>
      <c r="G4" s="719" t="e">
        <f>G5+G8+G33+G52</f>
        <v>#REF!</v>
      </c>
      <c r="H4" s="719">
        <f>H5+H8+H33+H52</f>
        <v>18600.88742</v>
      </c>
      <c r="I4" s="719">
        <f>I5+I8+I33+I52</f>
        <v>19423.670000000002</v>
      </c>
    </row>
    <row r="5" spans="1:9" s="185" customFormat="1" ht="12.75">
      <c r="A5" s="151" t="s">
        <v>2</v>
      </c>
      <c r="B5" s="151"/>
      <c r="C5" s="151"/>
      <c r="D5" s="151"/>
      <c r="E5" s="151"/>
      <c r="F5" s="720">
        <f>SUM(F6:F7)</f>
        <v>6122</v>
      </c>
      <c r="G5" s="721">
        <f>SUM(G6:G7)</f>
        <v>0</v>
      </c>
      <c r="H5" s="758">
        <f>SUM(H6:H7)</f>
        <v>6900</v>
      </c>
      <c r="I5" s="758">
        <f>SUM(I6:I7)</f>
        <v>7541.371</v>
      </c>
    </row>
    <row r="6" spans="1:9" ht="12.75">
      <c r="A6" s="110"/>
      <c r="B6" s="110" t="s">
        <v>3</v>
      </c>
      <c r="C6" s="110"/>
      <c r="D6" s="110"/>
      <c r="E6" s="110"/>
      <c r="F6" s="722">
        <f>4950+22</f>
        <v>4972</v>
      </c>
      <c r="G6" s="133"/>
      <c r="H6" s="759">
        <f>5911+27+316+46-585</f>
        <v>5715</v>
      </c>
      <c r="I6" s="174">
        <v>6305.495</v>
      </c>
    </row>
    <row r="7" spans="1:9" ht="12.75">
      <c r="A7" s="110"/>
      <c r="B7" s="110" t="s">
        <v>4</v>
      </c>
      <c r="C7" s="110"/>
      <c r="D7" s="110"/>
      <c r="E7" s="110"/>
      <c r="F7" s="722">
        <v>1150</v>
      </c>
      <c r="G7" s="133"/>
      <c r="H7" s="759">
        <f>1150+35</f>
        <v>1185</v>
      </c>
      <c r="I7" s="174">
        <v>1235.876</v>
      </c>
    </row>
    <row r="8" spans="1:9" s="185" customFormat="1" ht="12.75">
      <c r="A8" s="151" t="s">
        <v>7</v>
      </c>
      <c r="B8" s="151"/>
      <c r="C8" s="151"/>
      <c r="D8" s="151"/>
      <c r="E8" s="151"/>
      <c r="F8" s="720">
        <f>F9+F10+F30</f>
        <v>756</v>
      </c>
      <c r="G8" s="721">
        <f>G9+G10+G30</f>
        <v>0</v>
      </c>
      <c r="H8" s="758">
        <f>H9+H10+H30</f>
        <v>1046.2294200000001</v>
      </c>
      <c r="I8" s="758">
        <f>I9+I10+I30</f>
        <v>1141.355</v>
      </c>
    </row>
    <row r="9" spans="1:9" ht="12.75">
      <c r="A9" s="110"/>
      <c r="B9" s="110" t="s">
        <v>8</v>
      </c>
      <c r="C9" s="110"/>
      <c r="D9" s="110"/>
      <c r="E9" s="110"/>
      <c r="F9" s="722">
        <f>1+10</f>
        <v>11</v>
      </c>
      <c r="G9" s="133"/>
      <c r="H9" s="759">
        <f>17+16</f>
        <v>33</v>
      </c>
      <c r="I9" s="174">
        <v>44.604</v>
      </c>
    </row>
    <row r="10" spans="1:9" ht="12.75">
      <c r="A10" s="110"/>
      <c r="B10" s="110" t="s">
        <v>7</v>
      </c>
      <c r="C10" s="110"/>
      <c r="D10" s="110"/>
      <c r="E10" s="110"/>
      <c r="F10" s="722">
        <f>F11+F20+F23+F24+F25+F26</f>
        <v>731</v>
      </c>
      <c r="G10" s="133">
        <f>SUM(G11:G27)</f>
        <v>0</v>
      </c>
      <c r="H10" s="759">
        <f>H11+H23+H24+H25+H26</f>
        <v>996.7294200000001</v>
      </c>
      <c r="I10" s="759">
        <f>I11+I23+I24+I25+I26</f>
        <v>1060.459</v>
      </c>
    </row>
    <row r="11" spans="1:9" ht="12.75">
      <c r="A11" s="110"/>
      <c r="B11" s="110"/>
      <c r="C11" s="110" t="s">
        <v>715</v>
      </c>
      <c r="D11" s="110"/>
      <c r="E11" s="110"/>
      <c r="F11" s="722">
        <f>SUM(F12:F19)</f>
        <v>129</v>
      </c>
      <c r="G11" s="722">
        <f>SUM(G12:G19)</f>
        <v>0</v>
      </c>
      <c r="H11" s="759">
        <f>SUM(H12:H22)</f>
        <v>388.70900000000006</v>
      </c>
      <c r="I11" s="759">
        <f>SUM(I12:I22)</f>
        <v>396.452</v>
      </c>
    </row>
    <row r="12" spans="1:9" ht="12.75">
      <c r="A12" s="110"/>
      <c r="B12" s="110"/>
      <c r="C12" s="110" t="s">
        <v>716</v>
      </c>
      <c r="D12" s="110"/>
      <c r="E12" s="110"/>
      <c r="F12" s="722">
        <v>20</v>
      </c>
      <c r="G12" s="133"/>
      <c r="H12" s="759">
        <v>30.074</v>
      </c>
      <c r="I12" s="174">
        <v>30.074</v>
      </c>
    </row>
    <row r="13" spans="1:9" ht="12" customHeight="1">
      <c r="A13" s="110"/>
      <c r="B13" s="110"/>
      <c r="C13" s="110" t="s">
        <v>717</v>
      </c>
      <c r="D13" s="110"/>
      <c r="E13" s="110"/>
      <c r="F13" s="722">
        <v>22</v>
      </c>
      <c r="G13" s="133"/>
      <c r="H13" s="759">
        <v>40.198</v>
      </c>
      <c r="I13" s="174">
        <v>40.198</v>
      </c>
    </row>
    <row r="14" spans="1:9" ht="12" customHeight="1">
      <c r="A14" s="110"/>
      <c r="B14" s="110"/>
      <c r="C14" s="110" t="s">
        <v>718</v>
      </c>
      <c r="D14" s="110"/>
      <c r="E14" s="110"/>
      <c r="F14" s="722">
        <v>13.6</v>
      </c>
      <c r="G14" s="133"/>
      <c r="H14" s="754">
        <v>15</v>
      </c>
      <c r="I14" s="174">
        <v>14.92</v>
      </c>
    </row>
    <row r="15" spans="1:9" ht="12" customHeight="1">
      <c r="A15" s="110"/>
      <c r="B15" s="110"/>
      <c r="C15" s="110" t="s">
        <v>719</v>
      </c>
      <c r="D15" s="110"/>
      <c r="E15" s="110"/>
      <c r="F15" s="722">
        <v>4.4</v>
      </c>
      <c r="G15" s="133"/>
      <c r="H15" s="759">
        <f>Haridus!E45/1000</f>
        <v>4</v>
      </c>
      <c r="I15" s="174">
        <v>3.62</v>
      </c>
    </row>
    <row r="16" spans="1:9" ht="12" customHeight="1">
      <c r="A16" s="110"/>
      <c r="B16" s="110"/>
      <c r="C16" s="110" t="s">
        <v>720</v>
      </c>
      <c r="D16" s="110"/>
      <c r="E16" s="110"/>
      <c r="F16" s="722">
        <v>28</v>
      </c>
      <c r="G16" s="133"/>
      <c r="H16" s="759">
        <v>36</v>
      </c>
      <c r="I16" s="174">
        <v>36.211</v>
      </c>
    </row>
    <row r="17" spans="1:9" ht="12" customHeight="1">
      <c r="A17" s="110"/>
      <c r="B17" s="110"/>
      <c r="C17" s="110" t="s">
        <v>721</v>
      </c>
      <c r="D17" s="110"/>
      <c r="E17" s="110"/>
      <c r="F17" s="722">
        <v>13</v>
      </c>
      <c r="G17" s="133"/>
      <c r="H17" s="759">
        <v>13.8</v>
      </c>
      <c r="I17" s="174">
        <v>14.914</v>
      </c>
    </row>
    <row r="18" spans="1:9" ht="12" customHeight="1">
      <c r="A18" s="110"/>
      <c r="B18" s="110"/>
      <c r="C18" s="110" t="s">
        <v>722</v>
      </c>
      <c r="D18" s="110"/>
      <c r="E18" s="110"/>
      <c r="F18" s="722">
        <v>4</v>
      </c>
      <c r="G18" s="133"/>
      <c r="H18" s="759">
        <f>Haridus!F45/1000</f>
        <v>4</v>
      </c>
      <c r="I18" s="174">
        <v>3.858</v>
      </c>
    </row>
    <row r="19" spans="1:9" ht="12" customHeight="1">
      <c r="A19" s="110"/>
      <c r="B19" s="110"/>
      <c r="C19" s="110" t="s">
        <v>723</v>
      </c>
      <c r="D19" s="110"/>
      <c r="E19" s="110"/>
      <c r="F19" s="722">
        <v>24</v>
      </c>
      <c r="G19" s="133"/>
      <c r="H19" s="759">
        <v>35</v>
      </c>
      <c r="I19" s="174">
        <v>35.401</v>
      </c>
    </row>
    <row r="20" spans="1:9" ht="12.75">
      <c r="A20" s="110"/>
      <c r="B20" s="110"/>
      <c r="C20" s="110" t="s">
        <v>1007</v>
      </c>
      <c r="D20" s="110"/>
      <c r="E20" s="110"/>
      <c r="F20" s="722"/>
      <c r="G20" s="133"/>
      <c r="H20" s="759">
        <f>14.055+114.415</f>
        <v>128.47</v>
      </c>
      <c r="I20" s="174">
        <f>14.055+114.415+0.065</f>
        <v>128.535</v>
      </c>
    </row>
    <row r="21" spans="1:9" ht="12.75">
      <c r="A21" s="110"/>
      <c r="B21" s="110"/>
      <c r="C21" s="110" t="s">
        <v>1006</v>
      </c>
      <c r="D21" s="110"/>
      <c r="E21" s="110"/>
      <c r="F21" s="722"/>
      <c r="G21" s="133"/>
      <c r="H21" s="759">
        <f>32.921+19.246</f>
        <v>52.167</v>
      </c>
      <c r="I21" s="174">
        <f>32.921+19.25</f>
        <v>52.171</v>
      </c>
    </row>
    <row r="22" spans="1:9" ht="12.75">
      <c r="A22" s="110"/>
      <c r="B22" s="110" t="s">
        <v>37</v>
      </c>
      <c r="C22" s="110"/>
      <c r="D22" s="110"/>
      <c r="E22" s="110"/>
      <c r="F22" s="722">
        <v>28</v>
      </c>
      <c r="G22" s="133"/>
      <c r="H22" s="759">
        <v>30</v>
      </c>
      <c r="I22" s="174">
        <v>36.55</v>
      </c>
    </row>
    <row r="23" spans="1:9" ht="12.75">
      <c r="A23" s="110"/>
      <c r="B23" s="110"/>
      <c r="C23" s="110" t="s">
        <v>11</v>
      </c>
      <c r="D23" s="110"/>
      <c r="E23" s="110"/>
      <c r="F23" s="722">
        <v>36</v>
      </c>
      <c r="G23" s="133"/>
      <c r="H23" s="759">
        <v>40.049</v>
      </c>
      <c r="I23" s="174">
        <v>40.049</v>
      </c>
    </row>
    <row r="24" spans="1:9" ht="12.75">
      <c r="A24" s="110"/>
      <c r="B24" s="110"/>
      <c r="C24" s="110" t="s">
        <v>1008</v>
      </c>
      <c r="D24" s="110"/>
      <c r="E24" s="110"/>
      <c r="F24" s="722">
        <f>3-3</f>
        <v>0</v>
      </c>
      <c r="G24" s="133"/>
      <c r="H24" s="759">
        <v>1.336</v>
      </c>
      <c r="I24" s="174">
        <v>1.891</v>
      </c>
    </row>
    <row r="25" spans="1:9" ht="12.75">
      <c r="A25" s="110"/>
      <c r="B25" s="110"/>
      <c r="C25" s="110" t="s">
        <v>14</v>
      </c>
      <c r="D25" s="110"/>
      <c r="E25" s="110"/>
      <c r="F25" s="722">
        <v>15</v>
      </c>
      <c r="G25" s="133"/>
      <c r="H25" s="759">
        <f>10+5</f>
        <v>15</v>
      </c>
      <c r="I25" s="174">
        <v>13.741</v>
      </c>
    </row>
    <row r="26" spans="1:9" ht="12.75">
      <c r="A26" s="110"/>
      <c r="B26" s="110"/>
      <c r="C26" s="110" t="s">
        <v>724</v>
      </c>
      <c r="D26" s="110"/>
      <c r="E26" s="110"/>
      <c r="F26" s="722">
        <f>SUM(F27:F29)</f>
        <v>551</v>
      </c>
      <c r="G26" s="722">
        <f>SUM(G27:G29)</f>
        <v>0</v>
      </c>
      <c r="H26" s="759">
        <f>SUM(H27:H29)</f>
        <v>551.6354200000001</v>
      </c>
      <c r="I26" s="759">
        <f>SUM(I27:I29)</f>
        <v>608.326</v>
      </c>
    </row>
    <row r="27" spans="1:9" ht="12.75">
      <c r="A27" s="110"/>
      <c r="B27" s="110"/>
      <c r="C27" s="110" t="s">
        <v>725</v>
      </c>
      <c r="D27" s="110"/>
      <c r="E27" s="110"/>
      <c r="F27" s="722">
        <f>160+33-33+33</f>
        <v>193</v>
      </c>
      <c r="G27" s="133"/>
      <c r="H27" s="759">
        <f>MAJANDUS!S3/1000</f>
        <v>199.87333999999998</v>
      </c>
      <c r="I27" s="174">
        <v>219.093</v>
      </c>
    </row>
    <row r="28" spans="3:9" ht="12.75">
      <c r="C28" s="128" t="s">
        <v>726</v>
      </c>
      <c r="F28" s="723">
        <v>352</v>
      </c>
      <c r="H28" s="174">
        <f>MAJANDUS!L3/1000</f>
        <v>351.76208</v>
      </c>
      <c r="I28" s="174">
        <v>351.762</v>
      </c>
    </row>
    <row r="29" spans="3:9" ht="12.75">
      <c r="C29" s="128" t="s">
        <v>727</v>
      </c>
      <c r="F29" s="723">
        <v>6</v>
      </c>
      <c r="H29" s="174">
        <v>0</v>
      </c>
      <c r="I29" s="174">
        <v>37.471</v>
      </c>
    </row>
    <row r="30" spans="1:9" ht="12.75">
      <c r="A30" s="110"/>
      <c r="B30" s="110" t="s">
        <v>868</v>
      </c>
      <c r="C30" s="110"/>
      <c r="D30" s="110"/>
      <c r="E30" s="110"/>
      <c r="F30" s="722">
        <f>SUM(F31:F32)</f>
        <v>14</v>
      </c>
      <c r="G30" s="133">
        <f>SUM(G31:G32)</f>
        <v>0</v>
      </c>
      <c r="H30" s="759">
        <f>SUM(H31:H32)</f>
        <v>16.5</v>
      </c>
      <c r="I30" s="759">
        <f>SUM(I31:I32)</f>
        <v>36.292</v>
      </c>
    </row>
    <row r="31" spans="1:9" ht="12.75">
      <c r="A31" s="110"/>
      <c r="B31" s="110"/>
      <c r="C31" s="110" t="s">
        <v>16</v>
      </c>
      <c r="D31" s="110"/>
      <c r="E31" s="110"/>
      <c r="F31" s="722">
        <v>1</v>
      </c>
      <c r="G31" s="133"/>
      <c r="H31" s="759">
        <v>1.5</v>
      </c>
      <c r="I31" s="174">
        <v>17.948</v>
      </c>
    </row>
    <row r="32" spans="1:9" ht="12.75">
      <c r="A32" s="110"/>
      <c r="B32" s="110"/>
      <c r="C32" s="110" t="s">
        <v>21</v>
      </c>
      <c r="D32" s="110"/>
      <c r="E32" s="110"/>
      <c r="F32" s="722">
        <f>10+3</f>
        <v>13</v>
      </c>
      <c r="G32" s="133"/>
      <c r="H32" s="759">
        <f>2.4+3.6+6+3</f>
        <v>15</v>
      </c>
      <c r="I32" s="174">
        <f>12.477+5.867</f>
        <v>18.344</v>
      </c>
    </row>
    <row r="33" spans="1:9" s="185" customFormat="1" ht="12.75">
      <c r="A33" s="151" t="s">
        <v>25</v>
      </c>
      <c r="B33" s="151"/>
      <c r="C33" s="151"/>
      <c r="D33" s="151"/>
      <c r="E33" s="151"/>
      <c r="F33" s="720" t="e">
        <f>F35+F40+#REF!+F46</f>
        <v>#REF!</v>
      </c>
      <c r="G33" s="721" t="e">
        <f>#REF!+G34+G46+#REF!+#REF!+#REF!</f>
        <v>#REF!</v>
      </c>
      <c r="H33" s="758">
        <f>H35+H40+H51</f>
        <v>8546.593</v>
      </c>
      <c r="I33" s="758">
        <f>I35+I40+I51</f>
        <v>8557.617</v>
      </c>
    </row>
    <row r="34" spans="1:9" ht="12.75">
      <c r="A34" s="110"/>
      <c r="B34" s="110" t="s">
        <v>26</v>
      </c>
      <c r="C34" s="110"/>
      <c r="D34" s="110"/>
      <c r="E34" s="110"/>
      <c r="F34" s="720" t="e">
        <f>F35+F40+#REF!</f>
        <v>#REF!</v>
      </c>
      <c r="G34" s="720" t="e">
        <f>G35+G40+#REF!</f>
        <v>#REF!</v>
      </c>
      <c r="H34" s="758">
        <f>H35+H40</f>
        <v>6610.938</v>
      </c>
      <c r="I34" s="758">
        <f>I35+I40</f>
        <v>6621.9619999999995</v>
      </c>
    </row>
    <row r="35" spans="1:9" s="185" customFormat="1" ht="13.5" customHeight="1">
      <c r="A35" s="151"/>
      <c r="B35" s="151"/>
      <c r="C35" s="151" t="s">
        <v>1012</v>
      </c>
      <c r="D35" s="151"/>
      <c r="E35" s="151"/>
      <c r="F35" s="720">
        <f>SUM(F36:F39)</f>
        <v>5262</v>
      </c>
      <c r="G35" s="721" t="e">
        <f>SUM(G36:G48)</f>
        <v>#REF!</v>
      </c>
      <c r="H35" s="758">
        <f>SUM(H36:H39)</f>
        <v>5287</v>
      </c>
      <c r="I35" s="758">
        <f>SUM(I36:I39)</f>
        <v>5287</v>
      </c>
    </row>
    <row r="36" spans="1:9" ht="12.75" hidden="1">
      <c r="A36" s="110"/>
      <c r="B36" s="361"/>
      <c r="C36" s="110"/>
      <c r="D36" s="110"/>
      <c r="E36" s="110" t="s">
        <v>28</v>
      </c>
      <c r="F36" s="722">
        <v>724</v>
      </c>
      <c r="G36" s="133"/>
      <c r="H36" s="759">
        <f>639-639</f>
        <v>0</v>
      </c>
      <c r="I36" s="174">
        <f>0.652575*H36</f>
        <v>0</v>
      </c>
    </row>
    <row r="37" spans="1:9" ht="12.75">
      <c r="A37" s="110"/>
      <c r="B37" s="361"/>
      <c r="C37" s="110"/>
      <c r="D37" s="110" t="s">
        <v>1013</v>
      </c>
      <c r="F37" s="722">
        <f>2471</f>
        <v>2471</v>
      </c>
      <c r="G37" s="133"/>
      <c r="H37" s="759">
        <v>3045</v>
      </c>
      <c r="I37" s="174">
        <v>3045</v>
      </c>
    </row>
    <row r="38" spans="1:9" ht="12.75" hidden="1">
      <c r="A38" s="110"/>
      <c r="B38" s="361"/>
      <c r="C38" s="110"/>
      <c r="D38" s="725" t="s">
        <v>30</v>
      </c>
      <c r="F38" s="722">
        <f>171-6</f>
        <v>165</v>
      </c>
      <c r="G38" s="133"/>
      <c r="H38" s="759">
        <f>157-12-145</f>
        <v>0</v>
      </c>
      <c r="I38" s="174">
        <f>0.6525*H38</f>
        <v>0</v>
      </c>
    </row>
    <row r="39" spans="1:9" ht="12.75">
      <c r="A39" s="110"/>
      <c r="B39" s="110"/>
      <c r="C39" s="110"/>
      <c r="D39" s="110" t="s">
        <v>1014</v>
      </c>
      <c r="F39" s="722">
        <v>1902</v>
      </c>
      <c r="G39" s="133" t="e">
        <f>#REF!</f>
        <v>#REF!</v>
      </c>
      <c r="H39" s="759">
        <v>2242</v>
      </c>
      <c r="I39" s="174">
        <v>2242</v>
      </c>
    </row>
    <row r="40" spans="1:9" s="185" customFormat="1" ht="12.75">
      <c r="A40" s="151"/>
      <c r="B40" s="151"/>
      <c r="C40" s="151" t="s">
        <v>455</v>
      </c>
      <c r="D40" s="151"/>
      <c r="E40" s="151"/>
      <c r="F40" s="720">
        <f>SUM(F41)</f>
        <v>159</v>
      </c>
      <c r="G40" s="721"/>
      <c r="H40" s="758">
        <f>SUM(H41:H50)</f>
        <v>1323.938</v>
      </c>
      <c r="I40" s="758">
        <f>SUM(I41:I50)</f>
        <v>1334.962</v>
      </c>
    </row>
    <row r="41" spans="1:9" ht="12.75">
      <c r="A41" s="110"/>
      <c r="B41" s="361"/>
      <c r="C41" s="110"/>
      <c r="D41" s="110" t="s">
        <v>31</v>
      </c>
      <c r="F41" s="722">
        <f>159</f>
        <v>159</v>
      </c>
      <c r="G41" s="133"/>
      <c r="H41" s="759">
        <f>159-19</f>
        <v>140</v>
      </c>
      <c r="I41" s="174">
        <v>140</v>
      </c>
    </row>
    <row r="42" spans="1:9" ht="12.75">
      <c r="A42" s="110"/>
      <c r="B42" s="361"/>
      <c r="C42" s="110"/>
      <c r="D42" s="110" t="s">
        <v>989</v>
      </c>
      <c r="F42" s="722"/>
      <c r="G42" s="133"/>
      <c r="H42" s="759">
        <v>12</v>
      </c>
      <c r="I42" s="174">
        <v>13</v>
      </c>
    </row>
    <row r="43" spans="1:9" ht="12.75">
      <c r="A43" s="110"/>
      <c r="B43" s="110"/>
      <c r="C43" s="110"/>
      <c r="D43" s="110" t="s">
        <v>33</v>
      </c>
      <c r="E43" s="110"/>
      <c r="F43" s="722">
        <f>500-500</f>
        <v>0</v>
      </c>
      <c r="G43" s="133"/>
      <c r="H43" s="759">
        <v>575.2</v>
      </c>
      <c r="I43" s="174">
        <v>576.667</v>
      </c>
    </row>
    <row r="44" spans="1:9" ht="12.75">
      <c r="A44" s="110"/>
      <c r="B44" s="110"/>
      <c r="C44" s="110"/>
      <c r="D44" s="110" t="s">
        <v>916</v>
      </c>
      <c r="E44" s="110"/>
      <c r="F44" s="722"/>
      <c r="G44" s="133"/>
      <c r="H44" s="759">
        <v>16.162</v>
      </c>
      <c r="I44" s="174">
        <v>16.161</v>
      </c>
    </row>
    <row r="45" spans="1:9" ht="12.75">
      <c r="A45" s="110"/>
      <c r="B45" s="110"/>
      <c r="C45" s="110"/>
      <c r="D45" s="110" t="s">
        <v>865</v>
      </c>
      <c r="E45" s="110"/>
      <c r="F45" s="722">
        <f>126-126</f>
        <v>0</v>
      </c>
      <c r="G45" s="133"/>
      <c r="H45" s="759">
        <v>17</v>
      </c>
      <c r="I45" s="174">
        <v>17</v>
      </c>
    </row>
    <row r="46" spans="1:9" ht="12.75">
      <c r="A46" s="110"/>
      <c r="B46" s="110"/>
      <c r="C46" s="110"/>
      <c r="D46" s="110" t="s">
        <v>864</v>
      </c>
      <c r="E46" s="151"/>
      <c r="F46" s="720">
        <v>28</v>
      </c>
      <c r="G46" s="721"/>
      <c r="H46" s="758">
        <v>5.512</v>
      </c>
      <c r="I46" s="176">
        <v>5.512</v>
      </c>
    </row>
    <row r="47" spans="1:9" ht="12.75">
      <c r="A47" s="110"/>
      <c r="B47" s="110"/>
      <c r="C47" s="110"/>
      <c r="D47" s="110" t="s">
        <v>1010</v>
      </c>
      <c r="E47" s="110"/>
      <c r="F47" s="722"/>
      <c r="G47" s="133"/>
      <c r="H47" s="759">
        <v>48.372</v>
      </c>
      <c r="I47" s="174">
        <v>48.372</v>
      </c>
    </row>
    <row r="48" spans="1:9" ht="12" customHeight="1">
      <c r="A48" s="110"/>
      <c r="B48" s="110"/>
      <c r="C48" s="110"/>
      <c r="D48" s="110" t="s">
        <v>35</v>
      </c>
      <c r="E48" s="110"/>
      <c r="F48" s="722">
        <f>150-150</f>
        <v>0</v>
      </c>
      <c r="G48" s="133"/>
      <c r="H48" s="759">
        <v>196.5</v>
      </c>
      <c r="I48" s="174">
        <v>201.009</v>
      </c>
    </row>
    <row r="49" spans="1:9" ht="12" customHeight="1">
      <c r="A49" s="110"/>
      <c r="B49" s="110"/>
      <c r="C49" s="110"/>
      <c r="D49" s="110" t="s">
        <v>1009</v>
      </c>
      <c r="E49" s="110"/>
      <c r="F49" s="722"/>
      <c r="G49" s="133"/>
      <c r="H49" s="759">
        <f>79.692+200</f>
        <v>279.692</v>
      </c>
      <c r="I49" s="174">
        <f>83.741+200</f>
        <v>283.741</v>
      </c>
    </row>
    <row r="50" spans="1:9" ht="12.75">
      <c r="A50" s="110"/>
      <c r="B50" s="110"/>
      <c r="C50" s="110"/>
      <c r="D50" s="110" t="s">
        <v>32</v>
      </c>
      <c r="E50" s="110"/>
      <c r="F50" s="722">
        <f>416-416</f>
        <v>0</v>
      </c>
      <c r="G50" s="133"/>
      <c r="H50" s="759">
        <v>33.5</v>
      </c>
      <c r="I50" s="174">
        <v>33.5</v>
      </c>
    </row>
    <row r="51" spans="1:9" s="185" customFormat="1" ht="12.75">
      <c r="A51" s="151"/>
      <c r="B51" s="151"/>
      <c r="C51" s="151" t="s">
        <v>1011</v>
      </c>
      <c r="D51" s="151"/>
      <c r="E51" s="151"/>
      <c r="H51" s="176">
        <f>1935.655</f>
        <v>1935.655</v>
      </c>
      <c r="I51" s="176">
        <v>1935.655</v>
      </c>
    </row>
    <row r="52" spans="1:9" s="185" customFormat="1" ht="12.75">
      <c r="A52" s="151" t="s">
        <v>38</v>
      </c>
      <c r="B52" s="151"/>
      <c r="C52" s="151"/>
      <c r="D52" s="151"/>
      <c r="E52" s="151"/>
      <c r="F52" s="720">
        <f>F53+F54+F59</f>
        <v>298.5</v>
      </c>
      <c r="G52" s="720">
        <f>G53+G54+G59</f>
        <v>0</v>
      </c>
      <c r="H52" s="758">
        <f>H53+H54+H59</f>
        <v>2108.065</v>
      </c>
      <c r="I52" s="758">
        <f>I53+I54+I59</f>
        <v>2183.327</v>
      </c>
    </row>
    <row r="53" spans="1:9" ht="12.75">
      <c r="A53" s="110"/>
      <c r="B53" s="110" t="s">
        <v>1016</v>
      </c>
      <c r="C53" s="110"/>
      <c r="D53" s="110"/>
      <c r="E53" s="110"/>
      <c r="F53" s="722">
        <f>100+11.5</f>
        <v>111.5</v>
      </c>
      <c r="G53" s="133"/>
      <c r="H53" s="759">
        <f>120+50</f>
        <v>170</v>
      </c>
      <c r="I53" s="174">
        <v>228.11</v>
      </c>
    </row>
    <row r="54" spans="2:9" ht="12.75">
      <c r="B54" s="110" t="s">
        <v>866</v>
      </c>
      <c r="C54" s="110"/>
      <c r="D54" s="110"/>
      <c r="E54" s="110"/>
      <c r="F54" s="722">
        <f>F55</f>
        <v>23</v>
      </c>
      <c r="G54" s="722">
        <f>G55</f>
        <v>0</v>
      </c>
      <c r="H54" s="759">
        <f>H55</f>
        <v>234.065</v>
      </c>
      <c r="I54" s="759">
        <f>I55</f>
        <v>251.029</v>
      </c>
    </row>
    <row r="55" spans="1:9" ht="12.75">
      <c r="A55" s="110"/>
      <c r="B55" s="110" t="s">
        <v>729</v>
      </c>
      <c r="C55" s="110"/>
      <c r="D55" s="110"/>
      <c r="E55" s="110"/>
      <c r="F55" s="722">
        <f>SUM(F56:F58)</f>
        <v>23</v>
      </c>
      <c r="G55" s="722">
        <f>SUM(G56:G58)</f>
        <v>0</v>
      </c>
      <c r="H55" s="759">
        <f>SUM(H56:H58)</f>
        <v>234.065</v>
      </c>
      <c r="I55" s="759">
        <f>SUM(I56:I58)</f>
        <v>251.029</v>
      </c>
    </row>
    <row r="56" spans="1:9" ht="12.75">
      <c r="A56" s="110"/>
      <c r="B56" s="110"/>
      <c r="C56" s="110" t="s">
        <v>577</v>
      </c>
      <c r="D56" s="110"/>
      <c r="E56" s="110"/>
      <c r="F56" s="722"/>
      <c r="G56" s="133"/>
      <c r="H56" s="759">
        <v>214.065</v>
      </c>
      <c r="I56" s="174">
        <v>236.666</v>
      </c>
    </row>
    <row r="57" spans="1:9" ht="12.75">
      <c r="A57" s="110"/>
      <c r="B57" s="110"/>
      <c r="C57" s="110" t="s">
        <v>23</v>
      </c>
      <c r="D57" s="110"/>
      <c r="E57" s="110"/>
      <c r="F57" s="722">
        <v>20</v>
      </c>
      <c r="G57" s="133"/>
      <c r="H57" s="759">
        <v>20</v>
      </c>
      <c r="I57" s="174">
        <v>12.725</v>
      </c>
    </row>
    <row r="58" spans="1:9" ht="12.75">
      <c r="A58" s="110"/>
      <c r="B58" s="110"/>
      <c r="C58" s="110" t="s">
        <v>867</v>
      </c>
      <c r="D58" s="110"/>
      <c r="E58" s="110"/>
      <c r="F58" s="722">
        <v>3</v>
      </c>
      <c r="G58" s="133"/>
      <c r="H58" s="759">
        <f>3-3</f>
        <v>0</v>
      </c>
      <c r="I58" s="174">
        <f>1.638</f>
        <v>1.638</v>
      </c>
    </row>
    <row r="59" spans="1:9" s="185" customFormat="1" ht="12.75">
      <c r="A59" s="151" t="s">
        <v>38</v>
      </c>
      <c r="B59" s="151"/>
      <c r="C59" s="151"/>
      <c r="D59" s="151"/>
      <c r="E59" s="151"/>
      <c r="F59" s="720">
        <f>SUM(F60:F60)</f>
        <v>164</v>
      </c>
      <c r="G59" s="721">
        <f>SUM(G60:G60)</f>
        <v>0</v>
      </c>
      <c r="H59" s="758">
        <f>SUM(H60:H60)</f>
        <v>1704</v>
      </c>
      <c r="I59" s="758">
        <f>SUM(I60:I60)</f>
        <v>1704.188</v>
      </c>
    </row>
    <row r="60" spans="1:9" ht="13.5" customHeight="1">
      <c r="A60" s="110"/>
      <c r="B60" s="110" t="s">
        <v>1015</v>
      </c>
      <c r="C60" s="110"/>
      <c r="D60" s="110"/>
      <c r="E60" s="110"/>
      <c r="F60" s="722">
        <f>64.5+11+34.5+20+30+4</f>
        <v>164</v>
      </c>
      <c r="G60" s="133"/>
      <c r="H60" s="759">
        <v>1704</v>
      </c>
      <c r="I60" s="174">
        <f>1704+0.188</f>
        <v>1704.188</v>
      </c>
    </row>
    <row r="61" spans="1:9" s="185" customFormat="1" ht="12.75">
      <c r="A61" s="151" t="s">
        <v>1017</v>
      </c>
      <c r="B61" s="151"/>
      <c r="C61" s="151"/>
      <c r="D61" s="151"/>
      <c r="E61" s="151"/>
      <c r="F61" s="720"/>
      <c r="G61" s="721"/>
      <c r="H61" s="758">
        <f>432</f>
        <v>432</v>
      </c>
      <c r="I61" s="758">
        <f>432</f>
        <v>432</v>
      </c>
    </row>
    <row r="62" spans="1:9" s="185" customFormat="1" ht="12.75">
      <c r="A62" s="151"/>
      <c r="B62" s="151"/>
      <c r="C62" s="151"/>
      <c r="D62" s="151"/>
      <c r="E62" s="151"/>
      <c r="F62" s="720"/>
      <c r="G62" s="721"/>
      <c r="H62" s="758"/>
      <c r="I62" s="758"/>
    </row>
    <row r="63" spans="1:9" s="653" customFormat="1" ht="15.75">
      <c r="A63" s="653" t="s">
        <v>1033</v>
      </c>
      <c r="H63" s="757">
        <f>H61+H4</f>
        <v>19032.88742</v>
      </c>
      <c r="I63" s="757">
        <f>I61+I4</f>
        <v>19855.670000000002</v>
      </c>
    </row>
    <row r="64" spans="8:9" s="653" customFormat="1" ht="15.75">
      <c r="H64" s="726"/>
      <c r="I64" s="726"/>
    </row>
    <row r="65" spans="1:8" s="654" customFormat="1" ht="15.75">
      <c r="A65" s="372" t="s">
        <v>1035</v>
      </c>
      <c r="B65" s="719"/>
      <c r="D65" s="719"/>
      <c r="H65" s="755"/>
    </row>
    <row r="66" spans="1:9" s="654" customFormat="1" ht="15.75">
      <c r="A66" s="653" t="s">
        <v>752</v>
      </c>
      <c r="F66" s="719">
        <f>F67+F75+F84+F88+F95+F97+F116+F138+F148</f>
        <v>0</v>
      </c>
      <c r="G66" s="756">
        <f>I66/H66</f>
        <v>0.9853326087834784</v>
      </c>
      <c r="H66" s="719">
        <f>H67+H75+H84+H88+H95+H97+H116+H138</f>
        <v>18341.503</v>
      </c>
      <c r="I66" s="719">
        <f>I67+I75+I84+I88+I95+I97+I116+I138</f>
        <v>18072.480999999996</v>
      </c>
    </row>
    <row r="67" spans="1:9" ht="12.75">
      <c r="A67" s="151" t="s">
        <v>96</v>
      </c>
      <c r="B67" s="698"/>
      <c r="D67" s="727"/>
      <c r="F67" s="698">
        <f>SUM(F68:F74)</f>
        <v>0</v>
      </c>
      <c r="G67" s="728">
        <f>I67/H67</f>
        <v>1.014065073465016</v>
      </c>
      <c r="H67" s="698">
        <f>SUM(H68:H74)</f>
        <v>1444.429</v>
      </c>
      <c r="I67" s="698">
        <f>SUM(I68:I74)</f>
        <v>1464.745</v>
      </c>
    </row>
    <row r="68" spans="1:9" ht="12.75">
      <c r="A68" s="110" t="s">
        <v>66</v>
      </c>
      <c r="B68" s="133"/>
      <c r="D68" s="729"/>
      <c r="F68" s="730"/>
      <c r="G68" s="731">
        <f>I68/H68</f>
        <v>0.6552288797915892</v>
      </c>
      <c r="H68" s="732">
        <v>53.74</v>
      </c>
      <c r="I68" s="733">
        <v>35.212</v>
      </c>
    </row>
    <row r="69" spans="1:9" ht="12.75">
      <c r="A69" s="110" t="s">
        <v>67</v>
      </c>
      <c r="B69" s="133"/>
      <c r="D69" s="729"/>
      <c r="F69" s="730"/>
      <c r="G69" s="731">
        <f>I69/H69</f>
        <v>1.0479113541185137</v>
      </c>
      <c r="H69" s="732">
        <v>729.013</v>
      </c>
      <c r="I69" s="732">
        <v>763.941</v>
      </c>
    </row>
    <row r="70" spans="1:9" ht="12.75">
      <c r="A70" s="110" t="s">
        <v>1020</v>
      </c>
      <c r="B70" s="133"/>
      <c r="D70" s="729"/>
      <c r="F70" s="730"/>
      <c r="G70" s="731">
        <f>I70/H70</f>
        <v>1.0126354908640445</v>
      </c>
      <c r="H70" s="732">
        <f>125.305+20</f>
        <v>145.305</v>
      </c>
      <c r="I70" s="733">
        <f>131.141+16</f>
        <v>147.141</v>
      </c>
    </row>
    <row r="71" spans="1:9" ht="12" customHeight="1">
      <c r="A71" s="110" t="s">
        <v>65</v>
      </c>
      <c r="B71" s="750"/>
      <c r="D71" s="734"/>
      <c r="F71" s="735"/>
      <c r="G71" s="731"/>
      <c r="H71" s="732">
        <v>4.045</v>
      </c>
      <c r="I71" s="736"/>
    </row>
    <row r="72" spans="1:9" ht="12.75">
      <c r="A72" s="110" t="s">
        <v>438</v>
      </c>
      <c r="B72" s="133"/>
      <c r="D72" s="729"/>
      <c r="F72" s="730"/>
      <c r="G72" s="731">
        <f aca="true" t="shared" si="0" ref="G72:G103">I72/H72</f>
        <v>0.9791101897623983</v>
      </c>
      <c r="H72" s="732">
        <v>351.176</v>
      </c>
      <c r="I72" s="733">
        <v>343.84</v>
      </c>
    </row>
    <row r="73" spans="1:9" ht="12.75">
      <c r="A73" s="110" t="s">
        <v>112</v>
      </c>
      <c r="B73" s="133"/>
      <c r="D73" s="729"/>
      <c r="F73" s="730"/>
      <c r="G73" s="731">
        <f t="shared" si="0"/>
        <v>1.3237021276595744</v>
      </c>
      <c r="H73" s="732">
        <v>94</v>
      </c>
      <c r="I73" s="733">
        <v>124.428</v>
      </c>
    </row>
    <row r="74" spans="1:9" ht="12.75">
      <c r="A74" s="110" t="s">
        <v>453</v>
      </c>
      <c r="B74" s="133"/>
      <c r="D74" s="729"/>
      <c r="F74" s="730"/>
      <c r="G74" s="731">
        <f t="shared" si="0"/>
        <v>0.7473268801191362</v>
      </c>
      <c r="H74" s="732">
        <v>67.15</v>
      </c>
      <c r="I74" s="733">
        <v>50.183</v>
      </c>
    </row>
    <row r="75" spans="1:9" ht="12.75">
      <c r="A75" s="151" t="s">
        <v>97</v>
      </c>
      <c r="B75" s="737"/>
      <c r="D75" s="738"/>
      <c r="F75" s="739">
        <f>SUM(F76:F83)</f>
        <v>0</v>
      </c>
      <c r="G75" s="740">
        <f t="shared" si="0"/>
        <v>0.9295472904597414</v>
      </c>
      <c r="H75" s="739">
        <f>SUM(H76:H83)</f>
        <v>1587.0220000000002</v>
      </c>
      <c r="I75" s="739">
        <f>SUM(I76:I83)</f>
        <v>1475.2119999999998</v>
      </c>
    </row>
    <row r="76" spans="1:9" ht="12.75">
      <c r="A76" s="110" t="s">
        <v>258</v>
      </c>
      <c r="B76" s="712"/>
      <c r="D76" s="738"/>
      <c r="F76" s="732"/>
      <c r="G76" s="731">
        <f t="shared" si="0"/>
        <v>0.8193511042634058</v>
      </c>
      <c r="H76" s="733">
        <v>234.953</v>
      </c>
      <c r="I76" s="732">
        <v>192.509</v>
      </c>
    </row>
    <row r="77" spans="1:9" ht="12.75">
      <c r="A77" s="110" t="s">
        <v>634</v>
      </c>
      <c r="B77" s="712"/>
      <c r="D77" s="738"/>
      <c r="F77" s="732"/>
      <c r="G77" s="731">
        <f t="shared" si="0"/>
        <v>0.9415802048069698</v>
      </c>
      <c r="H77" s="732">
        <v>118.453</v>
      </c>
      <c r="I77" s="732">
        <v>111.533</v>
      </c>
    </row>
    <row r="78" spans="1:9" ht="12.75">
      <c r="A78" s="110" t="s">
        <v>267</v>
      </c>
      <c r="B78" s="712"/>
      <c r="D78" s="738"/>
      <c r="F78" s="732"/>
      <c r="G78" s="731">
        <f t="shared" si="0"/>
        <v>1.0579646656478214</v>
      </c>
      <c r="H78" s="733">
        <v>401.762</v>
      </c>
      <c r="I78" s="732">
        <v>425.05</v>
      </c>
    </row>
    <row r="79" spans="1:9" ht="12.75">
      <c r="A79" s="110" t="s">
        <v>1021</v>
      </c>
      <c r="B79" s="712"/>
      <c r="D79" s="738"/>
      <c r="F79" s="732"/>
      <c r="G79" s="731">
        <f t="shared" si="0"/>
        <v>0.8542019543973942</v>
      </c>
      <c r="H79" s="733">
        <v>15.35</v>
      </c>
      <c r="I79" s="732">
        <v>13.112</v>
      </c>
    </row>
    <row r="80" spans="1:9" ht="12.75">
      <c r="A80" s="110" t="s">
        <v>1022</v>
      </c>
      <c r="B80" s="712"/>
      <c r="D80" s="738"/>
      <c r="F80" s="732"/>
      <c r="G80" s="731">
        <f t="shared" si="0"/>
        <v>1.0023397883809142</v>
      </c>
      <c r="H80" s="733">
        <v>375.675</v>
      </c>
      <c r="I80" s="732">
        <v>376.554</v>
      </c>
    </row>
    <row r="81" spans="1:9" ht="12.75">
      <c r="A81" s="110" t="s">
        <v>139</v>
      </c>
      <c r="B81" s="712"/>
      <c r="D81" s="738"/>
      <c r="F81" s="732"/>
      <c r="G81" s="731">
        <f t="shared" si="0"/>
        <v>1</v>
      </c>
      <c r="H81" s="733">
        <v>12</v>
      </c>
      <c r="I81" s="732">
        <v>12</v>
      </c>
    </row>
    <row r="82" spans="1:9" ht="12.75">
      <c r="A82" s="110" t="s">
        <v>635</v>
      </c>
      <c r="B82" s="712"/>
      <c r="D82" s="738"/>
      <c r="F82" s="732"/>
      <c r="G82" s="731">
        <f t="shared" si="0"/>
        <v>0.9089249225260949</v>
      </c>
      <c r="H82" s="732">
        <f>257.877+22.54</f>
        <v>280.41700000000003</v>
      </c>
      <c r="I82" s="732">
        <f>232.338+22.54</f>
        <v>254.878</v>
      </c>
    </row>
    <row r="83" spans="1:9" ht="12.75">
      <c r="A83" s="110" t="s">
        <v>143</v>
      </c>
      <c r="B83" s="712"/>
      <c r="D83" s="738"/>
      <c r="F83" s="732"/>
      <c r="G83" s="731">
        <f t="shared" si="0"/>
        <v>0.6035630542004689</v>
      </c>
      <c r="H83" s="733">
        <v>148.412</v>
      </c>
      <c r="I83" s="732">
        <v>89.576</v>
      </c>
    </row>
    <row r="84" spans="1:9" ht="12.75">
      <c r="A84" s="151" t="s">
        <v>71</v>
      </c>
      <c r="B84" s="737"/>
      <c r="D84" s="741"/>
      <c r="F84" s="739">
        <f>SUM(F85:F87)</f>
        <v>0</v>
      </c>
      <c r="G84" s="728">
        <f t="shared" si="0"/>
        <v>0.8535193382956483</v>
      </c>
      <c r="H84" s="739">
        <f>SUM(H85:H87)</f>
        <v>285.082</v>
      </c>
      <c r="I84" s="739">
        <f>SUM(I85:I87)</f>
        <v>243.323</v>
      </c>
    </row>
    <row r="85" spans="1:9" ht="12.75">
      <c r="A85" s="110" t="s">
        <v>245</v>
      </c>
      <c r="B85" s="712"/>
      <c r="D85" s="738"/>
      <c r="F85" s="732"/>
      <c r="G85" s="731">
        <f t="shared" si="0"/>
        <v>1.1180454545454546</v>
      </c>
      <c r="H85" s="733">
        <v>22</v>
      </c>
      <c r="I85" s="732">
        <v>24.597</v>
      </c>
    </row>
    <row r="86" spans="1:9" ht="12.75">
      <c r="A86" s="128" t="s">
        <v>247</v>
      </c>
      <c r="B86" s="712"/>
      <c r="D86" s="738"/>
      <c r="F86" s="732"/>
      <c r="G86" s="731">
        <f t="shared" si="0"/>
        <v>1.0837680961485932</v>
      </c>
      <c r="H86" s="733">
        <v>146.44</v>
      </c>
      <c r="I86" s="732">
        <v>158.707</v>
      </c>
    </row>
    <row r="87" spans="1:9" ht="12.75">
      <c r="A87" s="110" t="s">
        <v>419</v>
      </c>
      <c r="B87" s="712"/>
      <c r="D87" s="738"/>
      <c r="F87" s="732"/>
      <c r="G87" s="731">
        <f t="shared" si="0"/>
        <v>0.5145573635568663</v>
      </c>
      <c r="H87" s="733">
        <v>116.642</v>
      </c>
      <c r="I87" s="732">
        <v>60.019</v>
      </c>
    </row>
    <row r="88" spans="1:9" ht="12.75">
      <c r="A88" s="151" t="s">
        <v>72</v>
      </c>
      <c r="B88" s="737"/>
      <c r="D88" s="741"/>
      <c r="F88" s="739">
        <f>SUM(F89:F94)</f>
        <v>0</v>
      </c>
      <c r="G88" s="728">
        <f t="shared" si="0"/>
        <v>1.3061582127577127</v>
      </c>
      <c r="H88" s="739">
        <f>SUM(H89:H94)</f>
        <v>691.613</v>
      </c>
      <c r="I88" s="739">
        <f>SUM(I89:I94)</f>
        <v>903.3560000000001</v>
      </c>
    </row>
    <row r="89" spans="1:9" ht="12.75">
      <c r="A89" s="110" t="s">
        <v>148</v>
      </c>
      <c r="B89" s="712"/>
      <c r="D89" s="738"/>
      <c r="F89" s="732"/>
      <c r="G89" s="731">
        <f t="shared" si="0"/>
        <v>1.6824433515282204</v>
      </c>
      <c r="H89" s="733">
        <v>199.873</v>
      </c>
      <c r="I89" s="732">
        <v>336.275</v>
      </c>
    </row>
    <row r="90" spans="1:9" ht="12.75">
      <c r="A90" s="110" t="s">
        <v>150</v>
      </c>
      <c r="B90" s="712"/>
      <c r="D90" s="738"/>
      <c r="F90" s="732"/>
      <c r="G90" s="731">
        <f t="shared" si="0"/>
        <v>1.5451851851851852</v>
      </c>
      <c r="H90" s="733">
        <v>27</v>
      </c>
      <c r="I90" s="732">
        <v>41.72</v>
      </c>
    </row>
    <row r="91" spans="1:9" ht="12.75">
      <c r="A91" s="110" t="s">
        <v>831</v>
      </c>
      <c r="B91" s="712"/>
      <c r="D91" s="738"/>
      <c r="F91" s="732"/>
      <c r="G91" s="731">
        <f t="shared" si="0"/>
        <v>1.0001123188405798</v>
      </c>
      <c r="H91" s="733">
        <v>276</v>
      </c>
      <c r="I91" s="732">
        <v>276.031</v>
      </c>
    </row>
    <row r="92" spans="1:9" ht="12.75">
      <c r="A92" s="110" t="s">
        <v>830</v>
      </c>
      <c r="B92" s="712"/>
      <c r="D92" s="738"/>
      <c r="F92" s="732"/>
      <c r="G92" s="731">
        <f t="shared" si="0"/>
        <v>0.9080869565217392</v>
      </c>
      <c r="H92" s="733">
        <v>115</v>
      </c>
      <c r="I92" s="732">
        <v>104.43</v>
      </c>
    </row>
    <row r="93" spans="1:9" ht="12.75">
      <c r="A93" s="110" t="s">
        <v>878</v>
      </c>
      <c r="B93" s="712"/>
      <c r="D93" s="738"/>
      <c r="F93" s="732"/>
      <c r="G93" s="731">
        <f t="shared" si="0"/>
        <v>18.007</v>
      </c>
      <c r="H93" s="733">
        <v>3</v>
      </c>
      <c r="I93" s="732">
        <v>54.021</v>
      </c>
    </row>
    <row r="94" spans="1:9" ht="12.75">
      <c r="A94" s="110" t="s">
        <v>248</v>
      </c>
      <c r="B94" s="712"/>
      <c r="D94" s="738"/>
      <c r="F94" s="732"/>
      <c r="G94" s="731">
        <f t="shared" si="0"/>
        <v>1.2846904156064463</v>
      </c>
      <c r="H94" s="733">
        <v>70.74</v>
      </c>
      <c r="I94" s="732">
        <v>90.879</v>
      </c>
    </row>
    <row r="95" spans="1:9" ht="12.75">
      <c r="A95" s="151" t="s">
        <v>73</v>
      </c>
      <c r="B95" s="712"/>
      <c r="D95" s="738"/>
      <c r="F95" s="732">
        <f>SUM(F96:F96)</f>
        <v>0</v>
      </c>
      <c r="G95" s="728">
        <f t="shared" si="0"/>
        <v>1.1782307692307692</v>
      </c>
      <c r="H95" s="698">
        <f>SUM(H96:H96)</f>
        <v>26</v>
      </c>
      <c r="I95" s="698">
        <f>SUM(I96:I96)</f>
        <v>30.634</v>
      </c>
    </row>
    <row r="96" spans="1:9" ht="12.75">
      <c r="A96" s="110" t="s">
        <v>373</v>
      </c>
      <c r="B96" s="712"/>
      <c r="D96" s="742"/>
      <c r="F96" s="743"/>
      <c r="G96" s="731">
        <f t="shared" si="0"/>
        <v>1.1782307692307692</v>
      </c>
      <c r="H96" s="732">
        <v>26</v>
      </c>
      <c r="I96" s="732">
        <v>30.634</v>
      </c>
    </row>
    <row r="97" spans="1:9" ht="12.75">
      <c r="A97" s="151" t="s">
        <v>680</v>
      </c>
      <c r="B97" s="712"/>
      <c r="D97" s="738"/>
      <c r="F97" s="730">
        <f>SUM(F98:F115)-F102</f>
        <v>0</v>
      </c>
      <c r="G97" s="728">
        <f t="shared" si="0"/>
        <v>0.9453338888793762</v>
      </c>
      <c r="H97" s="739">
        <f>SUM(H98:H115)-H102</f>
        <v>2102.4359999999997</v>
      </c>
      <c r="I97" s="739">
        <f>SUM(I98:I115)-I102</f>
        <v>1987.504</v>
      </c>
    </row>
    <row r="98" spans="1:9" ht="12.75">
      <c r="A98" s="110" t="s">
        <v>870</v>
      </c>
      <c r="B98" s="712"/>
      <c r="D98" s="729"/>
      <c r="F98" s="730"/>
      <c r="G98" s="731">
        <f t="shared" si="0"/>
        <v>1.0543971555733611</v>
      </c>
      <c r="H98" s="733">
        <v>319.502</v>
      </c>
      <c r="I98" s="732">
        <v>336.882</v>
      </c>
    </row>
    <row r="99" spans="1:9" ht="12.75">
      <c r="A99" s="110" t="s">
        <v>843</v>
      </c>
      <c r="B99" s="712"/>
      <c r="D99" s="729"/>
      <c r="F99" s="730"/>
      <c r="G99" s="731">
        <f t="shared" si="0"/>
        <v>0.99998</v>
      </c>
      <c r="H99" s="733">
        <v>500</v>
      </c>
      <c r="I99" s="732">
        <v>499.99</v>
      </c>
    </row>
    <row r="100" spans="1:9" ht="12.75">
      <c r="A100" s="110" t="s">
        <v>76</v>
      </c>
      <c r="B100" s="712"/>
      <c r="D100" s="729"/>
      <c r="F100" s="730"/>
      <c r="G100" s="731">
        <f t="shared" si="0"/>
        <v>1.1190298780042371</v>
      </c>
      <c r="H100" s="733">
        <v>136.89</v>
      </c>
      <c r="I100" s="732">
        <v>153.184</v>
      </c>
    </row>
    <row r="101" spans="1:9" ht="12.75">
      <c r="A101" s="110" t="s">
        <v>178</v>
      </c>
      <c r="B101" s="712"/>
      <c r="D101" s="729"/>
      <c r="F101" s="730"/>
      <c r="G101" s="731">
        <f t="shared" si="0"/>
        <v>0.45227586206896553</v>
      </c>
      <c r="H101" s="733">
        <v>29</v>
      </c>
      <c r="I101" s="732">
        <v>13.116</v>
      </c>
    </row>
    <row r="102" spans="1:9" ht="12.75">
      <c r="A102" s="110" t="s">
        <v>420</v>
      </c>
      <c r="B102" s="730"/>
      <c r="D102" s="738"/>
      <c r="F102" s="730"/>
      <c r="G102" s="731">
        <f t="shared" si="0"/>
        <v>0.9294647601373587</v>
      </c>
      <c r="H102" s="732">
        <f>SUM(H103:H106)</f>
        <v>504.37200000000007</v>
      </c>
      <c r="I102" s="732">
        <f>SUM(I103:I105)</f>
        <v>468.79599999999994</v>
      </c>
    </row>
    <row r="103" spans="1:9" ht="12.75">
      <c r="A103" s="110" t="s">
        <v>421</v>
      </c>
      <c r="B103" s="712"/>
      <c r="D103" s="729"/>
      <c r="F103" s="730"/>
      <c r="G103" s="731">
        <f t="shared" si="0"/>
        <v>0.9422081697921207</v>
      </c>
      <c r="H103" s="732">
        <v>137.58</v>
      </c>
      <c r="I103" s="732">
        <v>129.629</v>
      </c>
    </row>
    <row r="104" spans="1:9" ht="12.75">
      <c r="A104" s="110" t="s">
        <v>422</v>
      </c>
      <c r="B104" s="712"/>
      <c r="D104" s="729"/>
      <c r="F104" s="730"/>
      <c r="G104" s="731">
        <f aca="true" t="shared" si="1" ref="G104:G136">I104/H104</f>
        <v>0.987841616661998</v>
      </c>
      <c r="H104" s="732">
        <v>203.481</v>
      </c>
      <c r="I104" s="732">
        <v>201.007</v>
      </c>
    </row>
    <row r="105" spans="1:9" ht="12.75">
      <c r="A105" s="110" t="s">
        <v>423</v>
      </c>
      <c r="B105" s="712"/>
      <c r="D105" s="729"/>
      <c r="F105" s="730"/>
      <c r="G105" s="731">
        <f t="shared" si="1"/>
        <v>0.9989082574777132</v>
      </c>
      <c r="H105" s="732">
        <v>138.311</v>
      </c>
      <c r="I105" s="732">
        <v>138.16</v>
      </c>
    </row>
    <row r="106" spans="1:9" ht="12.75">
      <c r="A106" s="110" t="s">
        <v>917</v>
      </c>
      <c r="B106" s="712"/>
      <c r="D106" s="729"/>
      <c r="F106" s="730"/>
      <c r="G106" s="731">
        <f t="shared" si="1"/>
        <v>3.56248</v>
      </c>
      <c r="H106" s="732">
        <v>25</v>
      </c>
      <c r="I106" s="732">
        <v>89.062</v>
      </c>
    </row>
    <row r="107" spans="1:9" ht="12.75">
      <c r="A107" s="110" t="s">
        <v>871</v>
      </c>
      <c r="B107" s="712"/>
      <c r="D107" s="729"/>
      <c r="F107" s="730"/>
      <c r="G107" s="731">
        <f t="shared" si="1"/>
        <v>1.0352458926435242</v>
      </c>
      <c r="H107" s="732">
        <v>182.234</v>
      </c>
      <c r="I107" s="732">
        <f>218.157-29.5</f>
        <v>188.657</v>
      </c>
    </row>
    <row r="108" spans="1:9" ht="12.75">
      <c r="A108" s="110" t="s">
        <v>1037</v>
      </c>
      <c r="B108" s="712"/>
      <c r="D108" s="729"/>
      <c r="F108" s="730"/>
      <c r="G108" s="731"/>
      <c r="H108" s="732"/>
      <c r="I108" s="732">
        <f>29.5</f>
        <v>29.5</v>
      </c>
    </row>
    <row r="109" spans="1:9" ht="12.75">
      <c r="A109" s="110" t="s">
        <v>180</v>
      </c>
      <c r="B109" s="712"/>
      <c r="D109" s="729"/>
      <c r="F109" s="730"/>
      <c r="G109" s="731">
        <f t="shared" si="1"/>
        <v>0.5111111111111111</v>
      </c>
      <c r="H109" s="732">
        <v>4.5</v>
      </c>
      <c r="I109" s="732">
        <v>2.3</v>
      </c>
    </row>
    <row r="110" spans="1:9" ht="12.75">
      <c r="A110" s="110" t="s">
        <v>872</v>
      </c>
      <c r="B110" s="712"/>
      <c r="D110" s="729"/>
      <c r="F110" s="730"/>
      <c r="G110" s="731">
        <f t="shared" si="1"/>
        <v>0.10351339285714287</v>
      </c>
      <c r="H110" s="732">
        <v>224</v>
      </c>
      <c r="I110" s="732">
        <v>23.187</v>
      </c>
    </row>
    <row r="111" spans="1:9" ht="12.75">
      <c r="A111" s="110" t="s">
        <v>271</v>
      </c>
      <c r="B111" s="712"/>
      <c r="D111" s="729"/>
      <c r="F111" s="730"/>
      <c r="G111" s="731">
        <f t="shared" si="1"/>
        <v>0.5601760373630321</v>
      </c>
      <c r="H111" s="732">
        <v>44.536</v>
      </c>
      <c r="I111" s="732">
        <v>24.948</v>
      </c>
    </row>
    <row r="112" spans="1:9" ht="12.75">
      <c r="A112" s="110" t="s">
        <v>873</v>
      </c>
      <c r="B112" s="712"/>
      <c r="D112" s="729"/>
      <c r="F112" s="730"/>
      <c r="G112" s="731">
        <f t="shared" si="1"/>
        <v>1.3320941176470587</v>
      </c>
      <c r="H112" s="732">
        <v>42.5</v>
      </c>
      <c r="I112" s="732">
        <v>56.614</v>
      </c>
    </row>
    <row r="113" spans="1:9" ht="12.75">
      <c r="A113" s="110" t="s">
        <v>196</v>
      </c>
      <c r="B113" s="712"/>
      <c r="D113" s="729"/>
      <c r="F113" s="730"/>
      <c r="G113" s="731">
        <f t="shared" si="1"/>
        <v>0.9639975685234307</v>
      </c>
      <c r="H113" s="732">
        <v>36.192</v>
      </c>
      <c r="I113" s="732">
        <v>34.889</v>
      </c>
    </row>
    <row r="114" spans="1:9" ht="12.75">
      <c r="A114" s="110" t="s">
        <v>874</v>
      </c>
      <c r="B114" s="712"/>
      <c r="D114" s="729"/>
      <c r="F114" s="730"/>
      <c r="G114" s="731">
        <f t="shared" si="1"/>
        <v>0.8294750000000001</v>
      </c>
      <c r="H114" s="732">
        <v>40</v>
      </c>
      <c r="I114" s="732">
        <v>33.179</v>
      </c>
    </row>
    <row r="115" spans="1:9" ht="12.75">
      <c r="A115" s="110" t="s">
        <v>272</v>
      </c>
      <c r="B115" s="712"/>
      <c r="D115" s="729"/>
      <c r="F115" s="730"/>
      <c r="G115" s="731">
        <f t="shared" si="1"/>
        <v>0.8576595195040042</v>
      </c>
      <c r="H115" s="733">
        <v>38.71</v>
      </c>
      <c r="I115" s="732">
        <v>33.2</v>
      </c>
    </row>
    <row r="116" spans="1:9" ht="12.75">
      <c r="A116" s="151" t="s">
        <v>98</v>
      </c>
      <c r="B116" s="737"/>
      <c r="D116" s="739"/>
      <c r="F116" s="739">
        <f>SUM(F117:F137)-F117-F123-F128</f>
        <v>0</v>
      </c>
      <c r="G116" s="740">
        <f t="shared" si="1"/>
        <v>1.0036347688604288</v>
      </c>
      <c r="H116" s="739">
        <f>SUM(H117:H137)-H117-H123-H128</f>
        <v>10438.627999999999</v>
      </c>
      <c r="I116" s="739">
        <f>SUM(I117:I137)-I117-I123-I128</f>
        <v>10476.569999999998</v>
      </c>
    </row>
    <row r="117" spans="1:9" ht="12.75">
      <c r="A117" s="110" t="s">
        <v>424</v>
      </c>
      <c r="B117" s="730"/>
      <c r="D117" s="729"/>
      <c r="F117" s="730">
        <f>SUM(F119:F122)</f>
        <v>0</v>
      </c>
      <c r="G117" s="744">
        <f t="shared" si="1"/>
        <v>0.9723337420998017</v>
      </c>
      <c r="H117" s="732">
        <f>SUM(H119:H122)</f>
        <v>1060.1000000000001</v>
      </c>
      <c r="I117" s="732">
        <f>SUM(I119:I122)</f>
        <v>1030.771</v>
      </c>
    </row>
    <row r="118" spans="1:9" ht="12.75">
      <c r="A118" s="110" t="s">
        <v>446</v>
      </c>
      <c r="B118" s="712"/>
      <c r="D118" s="729"/>
      <c r="F118" s="730"/>
      <c r="G118" s="744">
        <f t="shared" si="1"/>
        <v>0.246</v>
      </c>
      <c r="H118" s="732">
        <v>5</v>
      </c>
      <c r="I118" s="732">
        <v>1.23</v>
      </c>
    </row>
    <row r="119" spans="1:9" ht="12.75">
      <c r="A119" s="110" t="s">
        <v>425</v>
      </c>
      <c r="B119" s="712"/>
      <c r="D119" s="729"/>
      <c r="F119" s="730"/>
      <c r="G119" s="744">
        <f t="shared" si="1"/>
        <v>1.011502759770658</v>
      </c>
      <c r="H119" s="732">
        <v>448.588</v>
      </c>
      <c r="I119" s="732">
        <v>453.748</v>
      </c>
    </row>
    <row r="120" spans="1:9" ht="12.75">
      <c r="A120" s="110" t="s">
        <v>426</v>
      </c>
      <c r="B120" s="712"/>
      <c r="D120" s="729"/>
      <c r="F120" s="730"/>
      <c r="G120" s="744">
        <f t="shared" si="1"/>
        <v>0.9691176400459707</v>
      </c>
      <c r="H120" s="732">
        <v>419.398</v>
      </c>
      <c r="I120" s="732">
        <v>406.446</v>
      </c>
    </row>
    <row r="121" spans="1:9" ht="12.75">
      <c r="A121" s="110" t="s">
        <v>875</v>
      </c>
      <c r="B121" s="712"/>
      <c r="D121" s="729"/>
      <c r="F121" s="730"/>
      <c r="G121" s="744">
        <f t="shared" si="1"/>
        <v>1.0715227272727272</v>
      </c>
      <c r="H121" s="732">
        <v>44</v>
      </c>
      <c r="I121" s="732">
        <v>47.147</v>
      </c>
    </row>
    <row r="122" spans="1:9" ht="12.75">
      <c r="A122" s="110" t="s">
        <v>427</v>
      </c>
      <c r="B122" s="712"/>
      <c r="D122" s="729"/>
      <c r="F122" s="730"/>
      <c r="G122" s="744">
        <f t="shared" si="1"/>
        <v>0.8333445859270562</v>
      </c>
      <c r="H122" s="733">
        <v>148.114</v>
      </c>
      <c r="I122" s="732">
        <v>123.43</v>
      </c>
    </row>
    <row r="123" spans="1:9" ht="12.75">
      <c r="A123" s="110" t="s">
        <v>429</v>
      </c>
      <c r="B123" s="730"/>
      <c r="D123" s="729"/>
      <c r="F123" s="730">
        <f>SUM(F124:F133)</f>
        <v>0</v>
      </c>
      <c r="G123" s="744">
        <f t="shared" si="1"/>
        <v>1.0047889654088027</v>
      </c>
      <c r="H123" s="732">
        <f>SUM(H124:H133)</f>
        <v>11702.109999999999</v>
      </c>
      <c r="I123" s="732">
        <f>SUM(I124:I133)</f>
        <v>11758.151000000002</v>
      </c>
    </row>
    <row r="124" spans="1:9" ht="12.75">
      <c r="A124" s="110" t="s">
        <v>430</v>
      </c>
      <c r="B124" s="712"/>
      <c r="D124" s="729"/>
      <c r="F124" s="730"/>
      <c r="G124" s="744">
        <f t="shared" si="1"/>
        <v>1.0548809476205077</v>
      </c>
      <c r="H124" s="732">
        <v>1350.414</v>
      </c>
      <c r="I124" s="732">
        <v>1424.526</v>
      </c>
    </row>
    <row r="125" spans="1:9" ht="12.75">
      <c r="A125" s="110" t="s">
        <v>877</v>
      </c>
      <c r="B125" s="712"/>
      <c r="D125" s="729"/>
      <c r="F125" s="730"/>
      <c r="G125" s="744">
        <f t="shared" si="1"/>
        <v>1.0131706417712822</v>
      </c>
      <c r="H125" s="732">
        <v>596.63</v>
      </c>
      <c r="I125" s="732">
        <v>604.488</v>
      </c>
    </row>
    <row r="126" spans="1:9" ht="12.75">
      <c r="A126" s="110" t="s">
        <v>431</v>
      </c>
      <c r="B126" s="712"/>
      <c r="D126" s="729"/>
      <c r="F126" s="730"/>
      <c r="G126" s="744">
        <f t="shared" si="1"/>
        <v>1.13501172922252</v>
      </c>
      <c r="H126" s="732">
        <v>1169.728</v>
      </c>
      <c r="I126" s="732">
        <v>1327.655</v>
      </c>
    </row>
    <row r="127" spans="1:9" ht="12.75">
      <c r="A127" s="110" t="s">
        <v>876</v>
      </c>
      <c r="B127" s="712"/>
      <c r="D127" s="729"/>
      <c r="F127" s="730"/>
      <c r="G127" s="744">
        <f t="shared" si="1"/>
        <v>0.975350470598231</v>
      </c>
      <c r="H127" s="732">
        <v>2118.58</v>
      </c>
      <c r="I127" s="732">
        <v>2066.358</v>
      </c>
    </row>
    <row r="128" spans="1:9" ht="12.75">
      <c r="A128" s="110" t="s">
        <v>445</v>
      </c>
      <c r="B128" s="712"/>
      <c r="D128" s="738"/>
      <c r="F128" s="743"/>
      <c r="G128" s="744">
        <f t="shared" si="1"/>
        <v>0.9785740311361378</v>
      </c>
      <c r="H128" s="732">
        <f>SUM(H129:H131)</f>
        <v>3019</v>
      </c>
      <c r="I128" s="732">
        <f>SUM(I129:I131)</f>
        <v>2954.315</v>
      </c>
    </row>
    <row r="129" spans="1:9" ht="12.75">
      <c r="A129" s="110" t="s">
        <v>754</v>
      </c>
      <c r="B129" s="712"/>
      <c r="D129" s="742"/>
      <c r="F129" s="743"/>
      <c r="G129" s="744">
        <f t="shared" si="1"/>
        <v>0.9961847226553988</v>
      </c>
      <c r="H129" s="732">
        <v>1638.413</v>
      </c>
      <c r="I129" s="732">
        <v>1632.162</v>
      </c>
    </row>
    <row r="130" spans="1:9" ht="12.75">
      <c r="A130" s="110" t="s">
        <v>755</v>
      </c>
      <c r="B130" s="712"/>
      <c r="D130" s="742"/>
      <c r="F130" s="743"/>
      <c r="G130" s="744">
        <f t="shared" si="1"/>
        <v>0.983701616055565</v>
      </c>
      <c r="H130" s="732">
        <v>1327.739</v>
      </c>
      <c r="I130" s="732">
        <v>1306.099</v>
      </c>
    </row>
    <row r="131" spans="1:9" ht="12.75">
      <c r="A131" s="110" t="s">
        <v>756</v>
      </c>
      <c r="B131" s="712"/>
      <c r="D131" s="742"/>
      <c r="F131" s="743"/>
      <c r="G131" s="744">
        <f t="shared" si="1"/>
        <v>0.30377686951256433</v>
      </c>
      <c r="H131" s="732">
        <v>52.848</v>
      </c>
      <c r="I131" s="732">
        <v>16.054</v>
      </c>
    </row>
    <row r="132" spans="1:9" ht="12.75">
      <c r="A132" s="110" t="s">
        <v>1036</v>
      </c>
      <c r="B132" s="712"/>
      <c r="D132" s="742"/>
      <c r="F132" s="743"/>
      <c r="G132" s="744">
        <f t="shared" si="1"/>
        <v>3.444303338171262</v>
      </c>
      <c r="H132" s="732">
        <f>3.234+2.278</f>
        <v>5.5120000000000005</v>
      </c>
      <c r="I132" s="732">
        <f>11.341+7.644</f>
        <v>18.985</v>
      </c>
    </row>
    <row r="133" spans="1:9" ht="12.75">
      <c r="A133" s="110" t="s">
        <v>879</v>
      </c>
      <c r="B133" s="712"/>
      <c r="D133" s="742"/>
      <c r="F133" s="743"/>
      <c r="G133" s="744">
        <f t="shared" si="1"/>
        <v>0.9628183136993617</v>
      </c>
      <c r="H133" s="733">
        <v>423.246</v>
      </c>
      <c r="I133" s="732">
        <v>407.509</v>
      </c>
    </row>
    <row r="134" spans="1:9" ht="12.75">
      <c r="A134" s="110" t="s">
        <v>86</v>
      </c>
      <c r="B134" s="712"/>
      <c r="D134" s="742"/>
      <c r="F134" s="743"/>
      <c r="G134" s="744">
        <f t="shared" si="1"/>
        <v>1.0030044024907785</v>
      </c>
      <c r="H134" s="732">
        <v>504.26</v>
      </c>
      <c r="I134" s="732">
        <v>505.775</v>
      </c>
    </row>
    <row r="135" spans="1:9" ht="12.75">
      <c r="A135" s="110" t="s">
        <v>695</v>
      </c>
      <c r="B135" s="712"/>
      <c r="D135" s="729"/>
      <c r="F135" s="730"/>
      <c r="G135" s="744">
        <f t="shared" si="1"/>
        <v>0.6474616560076971</v>
      </c>
      <c r="H135" s="732">
        <v>53.007</v>
      </c>
      <c r="I135" s="732">
        <v>34.32</v>
      </c>
    </row>
    <row r="136" spans="1:9" ht="12.75">
      <c r="A136" s="110" t="s">
        <v>1023</v>
      </c>
      <c r="B136" s="712"/>
      <c r="D136" s="729"/>
      <c r="F136" s="730"/>
      <c r="G136" s="744">
        <f t="shared" si="1"/>
        <v>0.9610584874454968</v>
      </c>
      <c r="H136" s="732">
        <v>39.906</v>
      </c>
      <c r="I136" s="732">
        <v>38.352</v>
      </c>
    </row>
    <row r="137" spans="1:9" ht="12.75">
      <c r="A137" s="110" t="s">
        <v>214</v>
      </c>
      <c r="B137" s="712"/>
      <c r="D137" s="729"/>
      <c r="F137" s="730"/>
      <c r="G137" s="744">
        <f aca="true" t="shared" si="2" ref="G137:G146">I137/H137</f>
        <v>0.6679821974368598</v>
      </c>
      <c r="H137" s="732">
        <v>93.245</v>
      </c>
      <c r="I137" s="732">
        <v>62.286</v>
      </c>
    </row>
    <row r="138" spans="1:9" ht="12.75">
      <c r="A138" s="151" t="s">
        <v>99</v>
      </c>
      <c r="B138" s="737"/>
      <c r="D138" s="745"/>
      <c r="F138" s="698">
        <f>SUM(F139:F146)</f>
        <v>0</v>
      </c>
      <c r="G138" s="746">
        <f t="shared" si="2"/>
        <v>0.8442183714706452</v>
      </c>
      <c r="H138" s="698">
        <f>SUM(H139:H146)</f>
        <v>1766.293</v>
      </c>
      <c r="I138" s="698">
        <f>SUM(I139:I146)</f>
        <v>1491.1370000000002</v>
      </c>
    </row>
    <row r="139" spans="1:9" ht="12.75">
      <c r="A139" s="110" t="s">
        <v>705</v>
      </c>
      <c r="B139" s="712"/>
      <c r="D139" s="729"/>
      <c r="F139" s="730"/>
      <c r="G139" s="744">
        <f t="shared" si="2"/>
        <v>1.1756963696369636</v>
      </c>
      <c r="H139" s="732">
        <v>151.5</v>
      </c>
      <c r="I139" s="732">
        <v>178.118</v>
      </c>
    </row>
    <row r="140" spans="1:9" ht="12.75">
      <c r="A140" s="110" t="s">
        <v>710</v>
      </c>
      <c r="B140" s="712"/>
      <c r="D140" s="729"/>
      <c r="F140" s="730"/>
      <c r="G140" s="744">
        <f t="shared" si="2"/>
        <v>1.0723250564334086</v>
      </c>
      <c r="H140" s="732">
        <v>44.3</v>
      </c>
      <c r="I140" s="732">
        <v>47.504</v>
      </c>
    </row>
    <row r="141" spans="1:9" ht="12.75">
      <c r="A141" s="110" t="s">
        <v>712</v>
      </c>
      <c r="B141" s="712"/>
      <c r="D141" s="729"/>
      <c r="F141" s="730"/>
      <c r="G141" s="744">
        <f t="shared" si="2"/>
        <v>0.9720462698760374</v>
      </c>
      <c r="H141" s="732">
        <v>84.461</v>
      </c>
      <c r="I141" s="732">
        <v>82.1</v>
      </c>
    </row>
    <row r="142" spans="1:9" ht="12.75">
      <c r="A142" s="110" t="s">
        <v>264</v>
      </c>
      <c r="B142" s="712"/>
      <c r="D142" s="729"/>
      <c r="F142" s="730"/>
      <c r="G142" s="744">
        <f t="shared" si="2"/>
        <v>0.9610876934742852</v>
      </c>
      <c r="H142" s="732">
        <f>583.704-225</f>
        <v>358.70399999999995</v>
      </c>
      <c r="I142" s="732">
        <f>494.746-150</f>
        <v>344.746</v>
      </c>
    </row>
    <row r="143" spans="1:9" ht="12.75">
      <c r="A143" s="110" t="s">
        <v>1026</v>
      </c>
      <c r="B143" s="712"/>
      <c r="D143" s="729"/>
      <c r="F143" s="730"/>
      <c r="G143" s="744">
        <f t="shared" si="2"/>
        <v>0.6666666666666666</v>
      </c>
      <c r="H143" s="732">
        <v>225</v>
      </c>
      <c r="I143" s="732">
        <v>150</v>
      </c>
    </row>
    <row r="144" spans="1:9" ht="12.75">
      <c r="A144" s="110" t="s">
        <v>1024</v>
      </c>
      <c r="B144" s="712"/>
      <c r="D144" s="729"/>
      <c r="F144" s="730"/>
      <c r="G144" s="744">
        <f t="shared" si="2"/>
        <v>0.9609852898339646</v>
      </c>
      <c r="H144" s="732">
        <f>25+84.856</f>
        <v>109.856</v>
      </c>
      <c r="I144" s="732">
        <f>21.2+84.37</f>
        <v>105.57000000000001</v>
      </c>
    </row>
    <row r="145" spans="1:9" ht="12.75">
      <c r="A145" s="110" t="s">
        <v>28</v>
      </c>
      <c r="B145" s="712"/>
      <c r="D145" s="729"/>
      <c r="F145" s="730"/>
      <c r="G145" s="744">
        <f t="shared" si="2"/>
        <v>0.7252378716744914</v>
      </c>
      <c r="H145" s="732">
        <v>639</v>
      </c>
      <c r="I145" s="732">
        <f>463.427</f>
        <v>463.427</v>
      </c>
    </row>
    <row r="146" spans="1:9" ht="12.75">
      <c r="A146" s="110" t="s">
        <v>232</v>
      </c>
      <c r="B146" s="712"/>
      <c r="D146" s="729"/>
      <c r="F146" s="730"/>
      <c r="G146" s="744">
        <f t="shared" si="2"/>
        <v>0.7797643869891576</v>
      </c>
      <c r="H146" s="732">
        <v>153.472</v>
      </c>
      <c r="I146" s="732">
        <v>119.672</v>
      </c>
    </row>
    <row r="147" spans="1:9" ht="12.75">
      <c r="A147" s="110"/>
      <c r="B147" s="712"/>
      <c r="D147" s="729"/>
      <c r="F147" s="730"/>
      <c r="G147" s="744"/>
      <c r="H147" s="732"/>
      <c r="I147" s="732"/>
    </row>
    <row r="148" spans="1:9" ht="12.75">
      <c r="A148" s="151" t="s">
        <v>64</v>
      </c>
      <c r="B148" s="747"/>
      <c r="D148" s="748"/>
      <c r="F148" s="749">
        <f>F149</f>
        <v>0</v>
      </c>
      <c r="G148" s="746">
        <f>I148/H148</f>
        <v>1.0026251808972504</v>
      </c>
      <c r="H148" s="749">
        <f>H149</f>
        <v>691</v>
      </c>
      <c r="I148" s="749">
        <f>I149</f>
        <v>692.814</v>
      </c>
    </row>
    <row r="149" spans="1:9" ht="12.75">
      <c r="A149" s="671" t="s">
        <v>661</v>
      </c>
      <c r="B149" s="750"/>
      <c r="D149" s="751"/>
      <c r="F149" s="724"/>
      <c r="G149" s="752"/>
      <c r="H149" s="753">
        <v>691</v>
      </c>
      <c r="I149" s="754">
        <v>692.814</v>
      </c>
    </row>
    <row r="151" spans="1:9" s="653" customFormat="1" ht="15.75">
      <c r="A151" s="653" t="s">
        <v>1034</v>
      </c>
      <c r="H151" s="757">
        <f>H148+H66</f>
        <v>19032.503</v>
      </c>
      <c r="I151" s="757">
        <f>I148+I66</f>
        <v>18765.294999999995</v>
      </c>
    </row>
  </sheetData>
  <printOptions/>
  <pageMargins left="0.7480314960629921" right="0.7480314960629921" top="0.7874015748031497" bottom="0.1968503937007874" header="0.11811023622047245" footer="0.118110236220472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88"/>
  <sheetViews>
    <sheetView workbookViewId="0" topLeftCell="A62">
      <selection activeCell="I71" sqref="I71"/>
    </sheetView>
  </sheetViews>
  <sheetFormatPr defaultColWidth="9.140625" defaultRowHeight="12.75"/>
  <cols>
    <col min="1" max="1" width="6.57421875" style="93" customWidth="1"/>
    <col min="2" max="2" width="4.8515625" style="93" customWidth="1"/>
    <col min="3" max="3" width="4.00390625" style="93" customWidth="1"/>
    <col min="4" max="4" width="3.00390625" style="93" customWidth="1"/>
    <col min="5" max="5" width="2.8515625" style="93" customWidth="1"/>
    <col min="6" max="6" width="38.8515625" style="93" customWidth="1"/>
    <col min="7" max="7" width="8.421875" style="93" hidden="1" customWidth="1"/>
    <col min="8" max="8" width="7.421875" style="93" hidden="1" customWidth="1"/>
    <col min="9" max="9" width="7.8515625" style="93" customWidth="1"/>
    <col min="10" max="10" width="7.7109375" style="93" customWidth="1"/>
    <col min="11" max="11" width="10.00390625" style="93" customWidth="1"/>
    <col min="12" max="12" width="8.28125" style="93" customWidth="1"/>
    <col min="13" max="16384" width="9.140625" style="93" customWidth="1"/>
  </cols>
  <sheetData>
    <row r="1" spans="1:13" ht="15.75">
      <c r="A1" s="653" t="s">
        <v>1055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9.7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18" customHeight="1">
      <c r="A3" s="655" t="s">
        <v>1054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13.5" customHeight="1">
      <c r="A4" s="655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3" ht="1.5" customHeight="1">
      <c r="A5" s="365"/>
      <c r="B5" s="110"/>
      <c r="C5" s="110"/>
      <c r="D5" s="366"/>
      <c r="E5" s="110"/>
      <c r="F5" s="110"/>
      <c r="G5" s="367" t="s">
        <v>375</v>
      </c>
      <c r="H5" s="314"/>
      <c r="I5" s="314"/>
      <c r="J5" s="314"/>
      <c r="K5" s="367"/>
      <c r="L5" s="128"/>
      <c r="M5" s="128"/>
    </row>
    <row r="6" spans="1:32" ht="26.25" customHeight="1">
      <c r="A6" s="365"/>
      <c r="B6" s="110" t="s">
        <v>714</v>
      </c>
      <c r="C6" s="110"/>
      <c r="D6" s="110"/>
      <c r="E6" s="110"/>
      <c r="F6" s="110"/>
      <c r="G6" s="715">
        <v>2003</v>
      </c>
      <c r="H6" s="716" t="s">
        <v>0</v>
      </c>
      <c r="I6" s="816" t="s">
        <v>1043</v>
      </c>
      <c r="J6" s="816" t="s">
        <v>1044</v>
      </c>
      <c r="K6" s="817" t="s">
        <v>1046</v>
      </c>
      <c r="L6" s="818" t="s">
        <v>1045</v>
      </c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</row>
    <row r="7" spans="1:32" s="104" customFormat="1" ht="15.75">
      <c r="A7" s="810"/>
      <c r="B7" s="372" t="s">
        <v>1</v>
      </c>
      <c r="C7" s="372"/>
      <c r="D7" s="372"/>
      <c r="E7" s="372"/>
      <c r="F7" s="372"/>
      <c r="G7" s="719" t="e">
        <f>G8+G11+G39+G71</f>
        <v>#REF!</v>
      </c>
      <c r="H7" s="719" t="e">
        <f>H8+H11+H39+H71</f>
        <v>#REF!</v>
      </c>
      <c r="I7" s="719">
        <v>17734</v>
      </c>
      <c r="J7" s="719">
        <v>18544</v>
      </c>
      <c r="K7" s="719">
        <v>18601</v>
      </c>
      <c r="L7" s="719">
        <v>19424</v>
      </c>
      <c r="M7" s="654"/>
      <c r="N7" s="654"/>
      <c r="O7" s="654"/>
      <c r="P7" s="654"/>
      <c r="Q7" s="654"/>
      <c r="R7" s="654"/>
      <c r="S7" s="654"/>
      <c r="T7" s="654"/>
      <c r="U7" s="654"/>
      <c r="V7" s="654"/>
      <c r="W7" s="654"/>
      <c r="X7" s="654"/>
      <c r="Y7" s="654"/>
      <c r="Z7" s="654"/>
      <c r="AA7" s="654"/>
      <c r="AB7" s="654"/>
      <c r="AC7" s="654"/>
      <c r="AD7" s="654"/>
      <c r="AE7" s="654"/>
      <c r="AF7" s="654"/>
    </row>
    <row r="8" spans="1:32" s="760" customFormat="1" ht="13.5" thickBot="1">
      <c r="A8" s="790"/>
      <c r="B8" s="151" t="s">
        <v>2</v>
      </c>
      <c r="C8" s="151"/>
      <c r="D8" s="151"/>
      <c r="E8" s="151"/>
      <c r="F8" s="151"/>
      <c r="G8" s="720">
        <f>SUM(G9:G10)</f>
        <v>6122</v>
      </c>
      <c r="H8" s="721">
        <f>SUM(H9:H10)</f>
        <v>0</v>
      </c>
      <c r="I8" s="758">
        <v>7255</v>
      </c>
      <c r="J8" s="758">
        <v>8152</v>
      </c>
      <c r="K8" s="758">
        <f>SUM(K9:K10)</f>
        <v>6900</v>
      </c>
      <c r="L8" s="758">
        <f>SUM(L9:L10)</f>
        <v>7541.371</v>
      </c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</row>
    <row r="9" spans="1:32" ht="12.75">
      <c r="A9" s="365"/>
      <c r="B9" s="110"/>
      <c r="C9" s="110" t="s">
        <v>3</v>
      </c>
      <c r="D9" s="110"/>
      <c r="E9" s="110"/>
      <c r="F9" s="110"/>
      <c r="G9" s="722">
        <f>4950+22</f>
        <v>4972</v>
      </c>
      <c r="H9" s="133"/>
      <c r="I9" s="759">
        <v>6325</v>
      </c>
      <c r="J9" s="759">
        <v>6892</v>
      </c>
      <c r="K9" s="759">
        <f>5911+27+316+46-585</f>
        <v>5715</v>
      </c>
      <c r="L9" s="174">
        <v>6305.495</v>
      </c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</row>
    <row r="10" spans="1:32" ht="12.75">
      <c r="A10" s="365"/>
      <c r="B10" s="110"/>
      <c r="C10" s="110" t="s">
        <v>4</v>
      </c>
      <c r="D10" s="110"/>
      <c r="E10" s="110"/>
      <c r="F10" s="110"/>
      <c r="G10" s="722">
        <v>1150</v>
      </c>
      <c r="H10" s="133"/>
      <c r="I10" s="759">
        <v>1200</v>
      </c>
      <c r="J10" s="759">
        <v>1260</v>
      </c>
      <c r="K10" s="759">
        <f>1150+35</f>
        <v>1185</v>
      </c>
      <c r="L10" s="174">
        <v>1235.876</v>
      </c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</row>
    <row r="11" spans="1:32" s="760" customFormat="1" ht="13.5" thickBot="1">
      <c r="A11" s="790"/>
      <c r="B11" s="151" t="s">
        <v>7</v>
      </c>
      <c r="C11" s="151"/>
      <c r="D11" s="151"/>
      <c r="E11" s="151"/>
      <c r="F11" s="151"/>
      <c r="G11" s="720">
        <f>G12+G13+G36</f>
        <v>742.4</v>
      </c>
      <c r="H11" s="721">
        <f>H12+H13+H36</f>
        <v>0</v>
      </c>
      <c r="I11" s="758">
        <v>986</v>
      </c>
      <c r="J11" s="758">
        <v>1029</v>
      </c>
      <c r="K11" s="758">
        <f>K12+K13+K36</f>
        <v>1046.7939999999999</v>
      </c>
      <c r="L11" s="758">
        <f>L12+L13+L36</f>
        <v>1141.366</v>
      </c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</row>
    <row r="12" spans="1:32" ht="12.75">
      <c r="A12" s="365"/>
      <c r="B12" s="110"/>
      <c r="C12" s="110" t="s">
        <v>8</v>
      </c>
      <c r="D12" s="110"/>
      <c r="E12" s="110"/>
      <c r="F12" s="110"/>
      <c r="G12" s="722">
        <f>1+10</f>
        <v>11</v>
      </c>
      <c r="H12" s="133"/>
      <c r="I12" s="759">
        <v>52</v>
      </c>
      <c r="J12" s="759">
        <v>62</v>
      </c>
      <c r="K12" s="759">
        <f>17+16</f>
        <v>33</v>
      </c>
      <c r="L12" s="174">
        <v>44.604</v>
      </c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</row>
    <row r="13" spans="1:32" ht="12.75">
      <c r="A13" s="365"/>
      <c r="B13" s="110"/>
      <c r="C13" s="110" t="s">
        <v>7</v>
      </c>
      <c r="D13" s="110"/>
      <c r="E13" s="110"/>
      <c r="F13" s="110"/>
      <c r="G13" s="722">
        <f>G14+G25+G29+G30+G31+G32</f>
        <v>717.4</v>
      </c>
      <c r="H13" s="133">
        <f>SUM(H14:H33)</f>
        <v>0</v>
      </c>
      <c r="I13" s="759">
        <v>934</v>
      </c>
      <c r="J13" s="759">
        <v>967</v>
      </c>
      <c r="K13" s="759">
        <f>K14+K29+K30+K31+K32</f>
        <v>997.294</v>
      </c>
      <c r="L13" s="759">
        <f>L14+L29+L30+L31+L32</f>
        <v>1060.47</v>
      </c>
      <c r="M13" s="128"/>
      <c r="Z13" s="128"/>
      <c r="AA13" s="128"/>
      <c r="AB13" s="128"/>
      <c r="AC13" s="128"/>
      <c r="AD13" s="128"/>
      <c r="AE13" s="128"/>
      <c r="AF13" s="128"/>
    </row>
    <row r="14" spans="1:32" ht="12.75">
      <c r="A14" s="365"/>
      <c r="B14" s="110"/>
      <c r="C14" s="110"/>
      <c r="D14" s="110" t="s">
        <v>715</v>
      </c>
      <c r="E14" s="110"/>
      <c r="F14" s="110"/>
      <c r="G14" s="722">
        <f>SUM(G15:G21)</f>
        <v>115.4</v>
      </c>
      <c r="H14" s="722">
        <f>SUM(H15:H21)</f>
        <v>0</v>
      </c>
      <c r="I14" s="759">
        <v>351</v>
      </c>
      <c r="J14" s="759">
        <v>353</v>
      </c>
      <c r="K14" s="759">
        <f>SUM(K15:K27)</f>
        <v>388.909</v>
      </c>
      <c r="L14" s="759">
        <f>SUM(L15:L27)</f>
        <v>396.463</v>
      </c>
      <c r="M14" s="128"/>
      <c r="Z14" s="128"/>
      <c r="AA14" s="128"/>
      <c r="AB14" s="128"/>
      <c r="AC14" s="128"/>
      <c r="AD14" s="128"/>
      <c r="AE14" s="128"/>
      <c r="AF14" s="128"/>
    </row>
    <row r="15" spans="1:13" ht="12.75">
      <c r="A15" s="365"/>
      <c r="B15" s="110"/>
      <c r="C15" s="110"/>
      <c r="D15" s="365" t="s">
        <v>1056</v>
      </c>
      <c r="E15" s="365"/>
      <c r="F15" s="365"/>
      <c r="G15" s="722">
        <v>20</v>
      </c>
      <c r="H15" s="133"/>
      <c r="I15" s="759">
        <v>29</v>
      </c>
      <c r="J15" s="759">
        <v>29</v>
      </c>
      <c r="K15" s="759">
        <v>30.074</v>
      </c>
      <c r="L15" s="174">
        <v>30.074</v>
      </c>
      <c r="M15" s="128"/>
    </row>
    <row r="16" spans="1:13" ht="12" customHeight="1">
      <c r="A16" s="365"/>
      <c r="B16" s="110"/>
      <c r="C16" s="110"/>
      <c r="D16" s="365" t="s">
        <v>1057</v>
      </c>
      <c r="E16" s="365"/>
      <c r="F16" s="365"/>
      <c r="G16" s="722">
        <v>22</v>
      </c>
      <c r="H16" s="133"/>
      <c r="I16" s="759">
        <v>35</v>
      </c>
      <c r="J16" s="759">
        <v>35</v>
      </c>
      <c r="K16" s="759">
        <v>40.198</v>
      </c>
      <c r="L16" s="174">
        <v>40.198</v>
      </c>
      <c r="M16" s="128"/>
    </row>
    <row r="17" spans="1:13" ht="12" customHeight="1">
      <c r="A17" s="365"/>
      <c r="B17" s="110"/>
      <c r="C17" s="110"/>
      <c r="D17" s="365" t="s">
        <v>1058</v>
      </c>
      <c r="E17" s="365"/>
      <c r="F17" s="365"/>
      <c r="G17" s="722">
        <v>4.4</v>
      </c>
      <c r="H17" s="133"/>
      <c r="I17" s="759"/>
      <c r="J17" s="759"/>
      <c r="K17" s="759">
        <f>Haridus!E45/1000</f>
        <v>4</v>
      </c>
      <c r="L17" s="174">
        <v>3.62</v>
      </c>
      <c r="M17" s="128"/>
    </row>
    <row r="18" spans="1:13" ht="12" customHeight="1">
      <c r="A18" s="365"/>
      <c r="B18" s="110"/>
      <c r="C18" s="110"/>
      <c r="D18" s="365" t="s">
        <v>1066</v>
      </c>
      <c r="E18" s="365"/>
      <c r="F18" s="365"/>
      <c r="G18" s="722">
        <v>28</v>
      </c>
      <c r="H18" s="133"/>
      <c r="I18" s="759"/>
      <c r="J18" s="759"/>
      <c r="K18" s="759">
        <v>4</v>
      </c>
      <c r="L18" s="174">
        <v>4</v>
      </c>
      <c r="M18" s="128"/>
    </row>
    <row r="19" spans="1:13" ht="12" customHeight="1">
      <c r="A19" s="365"/>
      <c r="B19" s="110"/>
      <c r="C19" s="110"/>
      <c r="D19" s="365" t="s">
        <v>1067</v>
      </c>
      <c r="E19" s="365"/>
      <c r="F19" s="365"/>
      <c r="G19" s="722">
        <v>13</v>
      </c>
      <c r="H19" s="133"/>
      <c r="I19" s="759">
        <v>16</v>
      </c>
      <c r="J19" s="759">
        <v>16</v>
      </c>
      <c r="K19" s="759">
        <v>15</v>
      </c>
      <c r="L19" s="174">
        <v>14.914</v>
      </c>
      <c r="M19" s="128"/>
    </row>
    <row r="20" spans="1:13" ht="12" customHeight="1">
      <c r="A20" s="365"/>
      <c r="B20" s="110"/>
      <c r="C20" s="110"/>
      <c r="D20" s="365" t="s">
        <v>1060</v>
      </c>
      <c r="E20" s="365"/>
      <c r="F20" s="365"/>
      <c r="G20" s="722">
        <v>4</v>
      </c>
      <c r="H20" s="133"/>
      <c r="I20" s="759">
        <v>15</v>
      </c>
      <c r="J20" s="759">
        <v>13</v>
      </c>
      <c r="K20" s="759">
        <v>14</v>
      </c>
      <c r="L20" s="174">
        <v>15</v>
      </c>
      <c r="M20" s="128"/>
    </row>
    <row r="21" spans="1:13" ht="12" customHeight="1">
      <c r="A21" s="365"/>
      <c r="B21" s="110"/>
      <c r="C21" s="110"/>
      <c r="D21" s="365" t="s">
        <v>1061</v>
      </c>
      <c r="E21" s="365"/>
      <c r="F21" s="365"/>
      <c r="G21" s="722">
        <v>24</v>
      </c>
      <c r="H21" s="133"/>
      <c r="I21" s="759">
        <v>28</v>
      </c>
      <c r="J21" s="759">
        <v>28</v>
      </c>
      <c r="K21" s="759">
        <v>35</v>
      </c>
      <c r="L21" s="174">
        <v>35.401</v>
      </c>
      <c r="M21" s="128"/>
    </row>
    <row r="22" spans="1:13" ht="12" customHeight="1">
      <c r="A22" s="365"/>
      <c r="B22" s="110"/>
      <c r="C22" s="110"/>
      <c r="D22" s="365" t="s">
        <v>1059</v>
      </c>
      <c r="E22" s="365"/>
      <c r="F22" s="365"/>
      <c r="G22" s="722"/>
      <c r="H22" s="133"/>
      <c r="I22" s="759">
        <v>38</v>
      </c>
      <c r="J22" s="759">
        <v>38</v>
      </c>
      <c r="K22" s="759">
        <v>36</v>
      </c>
      <c r="L22" s="174">
        <v>36</v>
      </c>
      <c r="M22" s="128"/>
    </row>
    <row r="23" spans="1:13" ht="12" customHeight="1">
      <c r="A23" s="365"/>
      <c r="B23" s="110"/>
      <c r="C23" s="110"/>
      <c r="D23" s="365" t="s">
        <v>1068</v>
      </c>
      <c r="E23" s="365"/>
      <c r="F23" s="365"/>
      <c r="G23" s="722"/>
      <c r="H23" s="133"/>
      <c r="I23" s="759">
        <v>23</v>
      </c>
      <c r="J23" s="759">
        <v>23</v>
      </c>
      <c r="K23" s="759"/>
      <c r="L23" s="174"/>
      <c r="M23" s="128"/>
    </row>
    <row r="24" spans="1:13" ht="12" customHeight="1">
      <c r="A24" s="365"/>
      <c r="B24" s="110"/>
      <c r="C24" s="110"/>
      <c r="D24" s="365" t="s">
        <v>1069</v>
      </c>
      <c r="E24" s="365"/>
      <c r="F24" s="365"/>
      <c r="G24" s="722"/>
      <c r="H24" s="133"/>
      <c r="I24" s="759">
        <v>23</v>
      </c>
      <c r="J24" s="759">
        <v>23</v>
      </c>
      <c r="K24" s="759"/>
      <c r="L24" s="174"/>
      <c r="M24" s="128"/>
    </row>
    <row r="25" spans="1:13" ht="12.75">
      <c r="A25" s="365"/>
      <c r="B25" s="110"/>
      <c r="C25" s="110"/>
      <c r="D25" s="365" t="s">
        <v>1062</v>
      </c>
      <c r="E25" s="365"/>
      <c r="F25" s="365"/>
      <c r="G25" s="722"/>
      <c r="H25" s="133"/>
      <c r="I25" s="759">
        <v>43</v>
      </c>
      <c r="J25" s="759">
        <v>43</v>
      </c>
      <c r="K25" s="759">
        <f>14.055+114.415</f>
        <v>128.47</v>
      </c>
      <c r="L25" s="174">
        <f>14.055+114.415+0.065</f>
        <v>128.535</v>
      </c>
      <c r="M25" s="128"/>
    </row>
    <row r="26" spans="1:13" ht="12.75">
      <c r="A26" s="365"/>
      <c r="B26" s="110"/>
      <c r="C26" s="110"/>
      <c r="D26" s="365" t="s">
        <v>1063</v>
      </c>
      <c r="E26" s="365"/>
      <c r="F26" s="365"/>
      <c r="G26" s="722"/>
      <c r="H26" s="133"/>
      <c r="I26" s="759">
        <v>40</v>
      </c>
      <c r="J26" s="759">
        <v>40</v>
      </c>
      <c r="K26" s="759">
        <f>32.921+19.246</f>
        <v>52.167</v>
      </c>
      <c r="L26" s="174">
        <f>32.921+19.25</f>
        <v>52.171</v>
      </c>
      <c r="M26" s="128"/>
    </row>
    <row r="27" spans="1:13" ht="12.75">
      <c r="A27" s="365"/>
      <c r="B27" s="110"/>
      <c r="C27" s="110" t="s">
        <v>1038</v>
      </c>
      <c r="D27" s="365" t="s">
        <v>1064</v>
      </c>
      <c r="E27" s="365"/>
      <c r="F27" s="365"/>
      <c r="G27" s="722">
        <v>28</v>
      </c>
      <c r="H27" s="133"/>
      <c r="I27" s="759">
        <v>27</v>
      </c>
      <c r="J27" s="759">
        <v>31</v>
      </c>
      <c r="K27" s="759">
        <v>30</v>
      </c>
      <c r="L27" s="174">
        <v>36.55</v>
      </c>
      <c r="M27" s="128"/>
    </row>
    <row r="28" spans="1:13" ht="12.75">
      <c r="A28" s="365"/>
      <c r="B28" s="110"/>
      <c r="C28" s="110"/>
      <c r="D28" s="365" t="s">
        <v>1065</v>
      </c>
      <c r="E28" s="365"/>
      <c r="F28" s="365"/>
      <c r="G28" s="722"/>
      <c r="H28" s="133"/>
      <c r="I28" s="759">
        <v>34</v>
      </c>
      <c r="J28" s="759">
        <v>34</v>
      </c>
      <c r="K28" s="759"/>
      <c r="L28" s="174"/>
      <c r="M28" s="128"/>
    </row>
    <row r="29" spans="1:13" ht="12.75">
      <c r="A29" s="365"/>
      <c r="B29" s="110"/>
      <c r="C29" s="110"/>
      <c r="D29" s="110" t="s">
        <v>11</v>
      </c>
      <c r="E29" s="110"/>
      <c r="F29" s="110"/>
      <c r="G29" s="722">
        <v>36</v>
      </c>
      <c r="H29" s="133"/>
      <c r="I29" s="759">
        <v>60</v>
      </c>
      <c r="J29" s="759">
        <v>37</v>
      </c>
      <c r="K29" s="759">
        <v>40.049</v>
      </c>
      <c r="L29" s="174">
        <v>40.049</v>
      </c>
      <c r="M29" s="128"/>
    </row>
    <row r="30" spans="1:13" ht="12.75">
      <c r="A30" s="365"/>
      <c r="B30" s="110"/>
      <c r="C30" s="110"/>
      <c r="D30" s="110" t="s">
        <v>1008</v>
      </c>
      <c r="E30" s="110"/>
      <c r="F30" s="110"/>
      <c r="G30" s="722">
        <f>3-3</f>
        <v>0</v>
      </c>
      <c r="H30" s="133"/>
      <c r="I30" s="759">
        <v>4</v>
      </c>
      <c r="J30" s="759">
        <v>4</v>
      </c>
      <c r="K30" s="759">
        <v>1.336</v>
      </c>
      <c r="L30" s="174">
        <v>1.891</v>
      </c>
      <c r="M30" s="128"/>
    </row>
    <row r="31" spans="1:13" ht="12.75">
      <c r="A31" s="365"/>
      <c r="B31" s="110"/>
      <c r="C31" s="110"/>
      <c r="D31" s="110" t="s">
        <v>14</v>
      </c>
      <c r="E31" s="110"/>
      <c r="F31" s="110"/>
      <c r="G31" s="722">
        <v>15</v>
      </c>
      <c r="H31" s="133"/>
      <c r="I31" s="759">
        <v>13</v>
      </c>
      <c r="J31" s="759">
        <v>13</v>
      </c>
      <c r="K31" s="759">
        <f>10+5</f>
        <v>15</v>
      </c>
      <c r="L31" s="174">
        <v>13.741</v>
      </c>
      <c r="M31" s="128"/>
    </row>
    <row r="32" spans="1:13" ht="12.75">
      <c r="A32" s="365"/>
      <c r="B32" s="110"/>
      <c r="C32" s="110"/>
      <c r="D32" s="110" t="s">
        <v>724</v>
      </c>
      <c r="E32" s="110"/>
      <c r="F32" s="110"/>
      <c r="G32" s="722">
        <f>SUM(G33:G35)</f>
        <v>551</v>
      </c>
      <c r="H32" s="722">
        <f>SUM(H33:H35)</f>
        <v>0</v>
      </c>
      <c r="I32" s="759">
        <v>492</v>
      </c>
      <c r="J32" s="759">
        <v>541</v>
      </c>
      <c r="K32" s="759">
        <v>552</v>
      </c>
      <c r="L32" s="759">
        <f>SUM(L33:L35)</f>
        <v>608.326</v>
      </c>
      <c r="M32" s="128"/>
    </row>
    <row r="33" spans="1:13" ht="12.75">
      <c r="A33" s="365"/>
      <c r="B33" s="110"/>
      <c r="C33" s="110"/>
      <c r="D33" s="110" t="s">
        <v>725</v>
      </c>
      <c r="E33" s="110"/>
      <c r="F33" s="110"/>
      <c r="G33" s="722">
        <f>160+33-33+33</f>
        <v>193</v>
      </c>
      <c r="H33" s="133"/>
      <c r="I33" s="759">
        <v>116</v>
      </c>
      <c r="J33" s="759">
        <v>124</v>
      </c>
      <c r="K33" s="759">
        <f>MAJANDUS!S3/1000</f>
        <v>199.87333999999998</v>
      </c>
      <c r="L33" s="174">
        <v>219.093</v>
      </c>
      <c r="M33" s="128"/>
    </row>
    <row r="34" spans="1:13" ht="12.75">
      <c r="A34" s="365"/>
      <c r="B34" s="128"/>
      <c r="C34" s="128"/>
      <c r="D34" s="128" t="s">
        <v>726</v>
      </c>
      <c r="E34" s="128"/>
      <c r="F34" s="128"/>
      <c r="G34" s="723">
        <v>352</v>
      </c>
      <c r="H34" s="128"/>
      <c r="I34" s="174">
        <v>355</v>
      </c>
      <c r="J34" s="174">
        <v>355</v>
      </c>
      <c r="K34" s="174">
        <f>MAJANDUS!L3/1000</f>
        <v>351.76208</v>
      </c>
      <c r="L34" s="174">
        <v>351.762</v>
      </c>
      <c r="M34" s="128"/>
    </row>
    <row r="35" spans="1:13" ht="12.75">
      <c r="A35" s="365"/>
      <c r="B35" s="128"/>
      <c r="C35" s="128"/>
      <c r="D35" s="128" t="s">
        <v>727</v>
      </c>
      <c r="E35" s="128"/>
      <c r="F35" s="128"/>
      <c r="G35" s="723">
        <v>6</v>
      </c>
      <c r="H35" s="128"/>
      <c r="I35" s="174">
        <v>21</v>
      </c>
      <c r="J35" s="174">
        <v>62</v>
      </c>
      <c r="K35" s="174">
        <v>0</v>
      </c>
      <c r="L35" s="174">
        <v>37.471</v>
      </c>
      <c r="M35" s="128"/>
    </row>
    <row r="36" spans="1:13" ht="12.75">
      <c r="A36" s="365"/>
      <c r="B36" s="110"/>
      <c r="C36" s="110" t="s">
        <v>868</v>
      </c>
      <c r="D36" s="110"/>
      <c r="E36" s="110"/>
      <c r="F36" s="110"/>
      <c r="G36" s="722">
        <f>SUM(G37:G38)</f>
        <v>14</v>
      </c>
      <c r="H36" s="133">
        <f>SUM(H37:H38)</f>
        <v>0</v>
      </c>
      <c r="I36" s="759">
        <v>14</v>
      </c>
      <c r="J36" s="759">
        <v>19</v>
      </c>
      <c r="K36" s="759">
        <f>SUM(K37:K38)</f>
        <v>16.5</v>
      </c>
      <c r="L36" s="759">
        <f>SUM(L37:L38)</f>
        <v>36.292</v>
      </c>
      <c r="M36" s="128"/>
    </row>
    <row r="37" spans="1:13" ht="12.75">
      <c r="A37" s="365"/>
      <c r="B37" s="110"/>
      <c r="C37" s="110"/>
      <c r="D37" s="110" t="s">
        <v>16</v>
      </c>
      <c r="E37" s="110"/>
      <c r="F37" s="110"/>
      <c r="G37" s="722">
        <v>1</v>
      </c>
      <c r="H37" s="133"/>
      <c r="I37" s="759">
        <v>1</v>
      </c>
      <c r="J37" s="759">
        <v>2</v>
      </c>
      <c r="K37" s="759">
        <v>1.5</v>
      </c>
      <c r="L37" s="174">
        <v>17.948</v>
      </c>
      <c r="M37" s="128"/>
    </row>
    <row r="38" spans="1:32" ht="12.75">
      <c r="A38" s="365"/>
      <c r="B38" s="110"/>
      <c r="C38" s="110"/>
      <c r="D38" s="110" t="s">
        <v>21</v>
      </c>
      <c r="E38" s="110"/>
      <c r="F38" s="110"/>
      <c r="G38" s="722">
        <f>10+3</f>
        <v>13</v>
      </c>
      <c r="H38" s="133"/>
      <c r="I38" s="759">
        <v>13</v>
      </c>
      <c r="J38" s="759">
        <v>17</v>
      </c>
      <c r="K38" s="759">
        <f>2.4+3.6+6+3</f>
        <v>15</v>
      </c>
      <c r="L38" s="174">
        <f>12.477+5.867</f>
        <v>18.344</v>
      </c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</row>
    <row r="39" spans="1:32" s="760" customFormat="1" ht="13.5" thickBot="1">
      <c r="A39" s="790"/>
      <c r="B39" s="151" t="s">
        <v>25</v>
      </c>
      <c r="C39" s="151"/>
      <c r="D39" s="151"/>
      <c r="E39" s="151"/>
      <c r="F39" s="151"/>
      <c r="G39" s="720" t="e">
        <f>G41+G46+#REF!+G50</f>
        <v>#REF!</v>
      </c>
      <c r="H39" s="721" t="e">
        <f>#REF!+H40+H50+#REF!+#REF!+#REF!</f>
        <v>#REF!</v>
      </c>
      <c r="I39" s="758">
        <v>8822</v>
      </c>
      <c r="J39" s="758">
        <v>8931</v>
      </c>
      <c r="K39" s="758">
        <v>8547</v>
      </c>
      <c r="L39" s="758">
        <v>8558</v>
      </c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</row>
    <row r="40" spans="1:32" ht="12.75">
      <c r="A40" s="365"/>
      <c r="B40" s="110"/>
      <c r="C40" s="110" t="s">
        <v>26</v>
      </c>
      <c r="D40" s="110"/>
      <c r="E40" s="110"/>
      <c r="F40" s="110"/>
      <c r="G40" s="720" t="e">
        <f>G41+G46+#REF!</f>
        <v>#REF!</v>
      </c>
      <c r="H40" s="720" t="e">
        <f>H41+H46+#REF!</f>
        <v>#REF!</v>
      </c>
      <c r="I40" s="758">
        <v>8689</v>
      </c>
      <c r="J40" s="758">
        <v>8796</v>
      </c>
      <c r="K40" s="758">
        <v>8514</v>
      </c>
      <c r="L40" s="758">
        <v>8525</v>
      </c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</row>
    <row r="41" spans="1:32" s="129" customFormat="1" ht="13.5" customHeight="1">
      <c r="A41" s="790"/>
      <c r="B41" s="151"/>
      <c r="C41" s="151"/>
      <c r="D41" s="151" t="s">
        <v>1012</v>
      </c>
      <c r="E41" s="151"/>
      <c r="F41" s="151"/>
      <c r="G41" s="720">
        <f>SUM(G42:G45)</f>
        <v>5262</v>
      </c>
      <c r="H41" s="721" t="e">
        <f>SUM(H42:H54)</f>
        <v>#REF!</v>
      </c>
      <c r="I41" s="758">
        <v>5897</v>
      </c>
      <c r="J41" s="758">
        <v>5988</v>
      </c>
      <c r="K41" s="758">
        <f>SUM(K42:K45)</f>
        <v>5287</v>
      </c>
      <c r="L41" s="758">
        <f>SUM(L42:L45)</f>
        <v>5287</v>
      </c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</row>
    <row r="42" spans="1:24" ht="12.75" hidden="1">
      <c r="A42" s="365"/>
      <c r="B42" s="110"/>
      <c r="C42" s="361"/>
      <c r="D42" s="110"/>
      <c r="E42" s="110"/>
      <c r="F42" s="110" t="s">
        <v>28</v>
      </c>
      <c r="G42" s="722">
        <v>724</v>
      </c>
      <c r="H42" s="133"/>
      <c r="I42" s="759"/>
      <c r="J42" s="759"/>
      <c r="K42" s="759">
        <f>639-639</f>
        <v>0</v>
      </c>
      <c r="L42" s="174">
        <f>0.652575*K42</f>
        <v>0</v>
      </c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</row>
    <row r="43" spans="1:24" ht="12.75">
      <c r="A43" s="365"/>
      <c r="B43" s="110"/>
      <c r="C43" s="361"/>
      <c r="D43" s="110"/>
      <c r="E43" s="110" t="s">
        <v>1013</v>
      </c>
      <c r="F43" s="128"/>
      <c r="G43" s="722">
        <f>2471</f>
        <v>2471</v>
      </c>
      <c r="H43" s="133"/>
      <c r="I43" s="759">
        <v>3796</v>
      </c>
      <c r="J43" s="759">
        <v>3796</v>
      </c>
      <c r="K43" s="759">
        <v>3045</v>
      </c>
      <c r="L43" s="174">
        <v>3045</v>
      </c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</row>
    <row r="44" spans="1:24" ht="12.75" hidden="1">
      <c r="A44" s="365"/>
      <c r="B44" s="110"/>
      <c r="C44" s="361"/>
      <c r="D44" s="110"/>
      <c r="E44" s="725" t="s">
        <v>30</v>
      </c>
      <c r="F44" s="128"/>
      <c r="G44" s="722">
        <f>171-6</f>
        <v>165</v>
      </c>
      <c r="H44" s="133"/>
      <c r="I44" s="759"/>
      <c r="J44" s="759"/>
      <c r="K44" s="759">
        <f>157-12-145</f>
        <v>0</v>
      </c>
      <c r="L44" s="174">
        <f>0.6525*K44</f>
        <v>0</v>
      </c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</row>
    <row r="45" spans="1:24" ht="12.75">
      <c r="A45" s="365"/>
      <c r="B45" s="110"/>
      <c r="C45" s="110"/>
      <c r="D45" s="110"/>
      <c r="E45" s="110" t="s">
        <v>1014</v>
      </c>
      <c r="F45" s="128"/>
      <c r="G45" s="722">
        <v>1902</v>
      </c>
      <c r="H45" s="133" t="e">
        <f>#REF!</f>
        <v>#REF!</v>
      </c>
      <c r="I45" s="759">
        <v>2101</v>
      </c>
      <c r="J45" s="759">
        <v>2192</v>
      </c>
      <c r="K45" s="759">
        <v>2242</v>
      </c>
      <c r="L45" s="174">
        <v>2242</v>
      </c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</row>
    <row r="46" spans="1:13" s="129" customFormat="1" ht="12.75">
      <c r="A46" s="790"/>
      <c r="B46" s="151"/>
      <c r="C46" s="151"/>
      <c r="D46" s="151" t="s">
        <v>455</v>
      </c>
      <c r="E46" s="151"/>
      <c r="F46" s="151"/>
      <c r="G46" s="720">
        <f>SUM(G47)</f>
        <v>159</v>
      </c>
      <c r="H46" s="721"/>
      <c r="I46" s="758">
        <v>611</v>
      </c>
      <c r="J46" s="758">
        <v>652</v>
      </c>
      <c r="K46" s="758">
        <v>1291</v>
      </c>
      <c r="L46" s="758">
        <v>1302</v>
      </c>
      <c r="M46" s="185"/>
    </row>
    <row r="47" spans="1:13" ht="12.75">
      <c r="A47" s="365"/>
      <c r="B47" s="110"/>
      <c r="C47" s="361"/>
      <c r="D47" s="110"/>
      <c r="E47" s="110" t="s">
        <v>31</v>
      </c>
      <c r="F47" s="128"/>
      <c r="G47" s="722">
        <f>159</f>
        <v>159</v>
      </c>
      <c r="H47" s="133"/>
      <c r="I47" s="759">
        <v>119</v>
      </c>
      <c r="J47" s="759">
        <v>119</v>
      </c>
      <c r="K47" s="759">
        <f>159-19</f>
        <v>140</v>
      </c>
      <c r="L47" s="174">
        <v>140</v>
      </c>
      <c r="M47" s="128"/>
    </row>
    <row r="48" spans="1:13" ht="12.75">
      <c r="A48" s="365"/>
      <c r="B48" s="110"/>
      <c r="C48" s="361"/>
      <c r="D48" s="110"/>
      <c r="E48" s="110" t="s">
        <v>989</v>
      </c>
      <c r="F48" s="128"/>
      <c r="G48" s="722"/>
      <c r="H48" s="133"/>
      <c r="I48" s="759">
        <v>20</v>
      </c>
      <c r="J48" s="759">
        <v>20</v>
      </c>
      <c r="K48" s="759">
        <v>12</v>
      </c>
      <c r="L48" s="174">
        <v>13</v>
      </c>
      <c r="M48" s="128"/>
    </row>
    <row r="49" spans="1:13" ht="12.75">
      <c r="A49" s="365"/>
      <c r="B49" s="110"/>
      <c r="C49" s="110"/>
      <c r="D49" s="110"/>
      <c r="E49" s="110" t="s">
        <v>33</v>
      </c>
      <c r="F49" s="110"/>
      <c r="G49" s="722">
        <f>500-500</f>
        <v>0</v>
      </c>
      <c r="H49" s="133"/>
      <c r="I49" s="759">
        <v>38</v>
      </c>
      <c r="J49" s="759">
        <v>38</v>
      </c>
      <c r="K49" s="759">
        <v>575.2</v>
      </c>
      <c r="L49" s="174">
        <v>576.667</v>
      </c>
      <c r="M49" s="128"/>
    </row>
    <row r="50" spans="1:13" ht="12.75">
      <c r="A50" s="365"/>
      <c r="B50" s="110"/>
      <c r="C50" s="110"/>
      <c r="D50" s="110"/>
      <c r="E50" s="110" t="s">
        <v>864</v>
      </c>
      <c r="F50" s="151"/>
      <c r="G50" s="720">
        <v>28</v>
      </c>
      <c r="H50" s="721"/>
      <c r="I50" s="759">
        <v>53</v>
      </c>
      <c r="J50" s="759">
        <v>24</v>
      </c>
      <c r="K50" s="759">
        <v>5.512</v>
      </c>
      <c r="L50" s="174">
        <v>5.512</v>
      </c>
      <c r="M50" s="128"/>
    </row>
    <row r="51" spans="1:13" ht="12.75">
      <c r="A51" s="365"/>
      <c r="B51" s="110"/>
      <c r="C51" s="110"/>
      <c r="D51" s="110"/>
      <c r="E51" s="110" t="s">
        <v>1039</v>
      </c>
      <c r="F51" s="151"/>
      <c r="G51" s="720"/>
      <c r="H51" s="721"/>
      <c r="I51" s="759">
        <v>12</v>
      </c>
      <c r="J51" s="759">
        <v>20</v>
      </c>
      <c r="K51" s="759"/>
      <c r="L51" s="174"/>
      <c r="M51" s="128"/>
    </row>
    <row r="52" spans="1:13" ht="12.75">
      <c r="A52" s="365"/>
      <c r="B52" s="110"/>
      <c r="C52" s="110"/>
      <c r="D52" s="110"/>
      <c r="E52" s="110" t="s">
        <v>34</v>
      </c>
      <c r="F52" s="151"/>
      <c r="G52" s="720"/>
      <c r="H52" s="721"/>
      <c r="I52" s="759">
        <v>4</v>
      </c>
      <c r="J52" s="759">
        <v>4</v>
      </c>
      <c r="K52" s="759"/>
      <c r="L52" s="174"/>
      <c r="M52" s="128"/>
    </row>
    <row r="53" spans="1:13" ht="12.75">
      <c r="A53" s="365"/>
      <c r="B53" s="110"/>
      <c r="C53" s="110"/>
      <c r="D53" s="110"/>
      <c r="E53" s="110" t="s">
        <v>1053</v>
      </c>
      <c r="F53" s="110"/>
      <c r="G53" s="722"/>
      <c r="H53" s="133"/>
      <c r="I53" s="759">
        <v>54</v>
      </c>
      <c r="J53" s="759">
        <v>54</v>
      </c>
      <c r="K53" s="759">
        <v>48.372</v>
      </c>
      <c r="L53" s="174">
        <v>48.372</v>
      </c>
      <c r="M53" s="128"/>
    </row>
    <row r="54" spans="1:13" ht="12" customHeight="1">
      <c r="A54" s="365"/>
      <c r="B54" s="110"/>
      <c r="C54" s="110"/>
      <c r="D54" s="110"/>
      <c r="E54" s="110" t="s">
        <v>35</v>
      </c>
      <c r="F54" s="110"/>
      <c r="G54" s="722">
        <f>150-150</f>
        <v>0</v>
      </c>
      <c r="H54" s="133"/>
      <c r="I54" s="759">
        <v>259</v>
      </c>
      <c r="J54" s="759">
        <v>259</v>
      </c>
      <c r="K54" s="759">
        <v>196.5</v>
      </c>
      <c r="L54" s="174">
        <v>201.009</v>
      </c>
      <c r="M54" s="128"/>
    </row>
    <row r="55" spans="1:13" ht="12" customHeight="1">
      <c r="A55" s="365"/>
      <c r="B55" s="110"/>
      <c r="C55" s="110"/>
      <c r="D55" s="110"/>
      <c r="E55" s="110" t="s">
        <v>1009</v>
      </c>
      <c r="F55" s="110"/>
      <c r="G55" s="722"/>
      <c r="H55" s="133"/>
      <c r="I55" s="759">
        <v>52</v>
      </c>
      <c r="J55" s="759">
        <v>114</v>
      </c>
      <c r="K55" s="759">
        <f>79.692+200</f>
        <v>279.692</v>
      </c>
      <c r="L55" s="174">
        <f>83.741+200</f>
        <v>283.741</v>
      </c>
      <c r="M55" s="128"/>
    </row>
    <row r="56" spans="1:13" ht="12" customHeight="1">
      <c r="A56" s="365"/>
      <c r="B56" s="110"/>
      <c r="C56" s="110"/>
      <c r="D56" s="110"/>
      <c r="E56" s="110"/>
      <c r="F56" s="110"/>
      <c r="G56" s="722"/>
      <c r="H56" s="133"/>
      <c r="I56" s="759"/>
      <c r="J56" s="759"/>
      <c r="K56" s="759"/>
      <c r="L56" s="174"/>
      <c r="M56" s="128"/>
    </row>
    <row r="57" spans="1:13" ht="12.75">
      <c r="A57" s="365"/>
      <c r="B57" s="110"/>
      <c r="C57" s="110"/>
      <c r="D57" s="110"/>
      <c r="E57" s="110" t="s">
        <v>32</v>
      </c>
      <c r="F57" s="110"/>
      <c r="G57" s="722">
        <f>416-416</f>
        <v>0</v>
      </c>
      <c r="H57" s="133"/>
      <c r="I57" s="759"/>
      <c r="J57" s="759"/>
      <c r="K57" s="759">
        <v>33.5</v>
      </c>
      <c r="L57" s="174">
        <v>33.5</v>
      </c>
      <c r="M57" s="128"/>
    </row>
    <row r="58" spans="1:13" s="129" customFormat="1" ht="12.75">
      <c r="A58" s="790"/>
      <c r="B58" s="151"/>
      <c r="C58" s="151"/>
      <c r="D58" s="151" t="s">
        <v>1011</v>
      </c>
      <c r="E58" s="151"/>
      <c r="F58" s="151"/>
      <c r="G58" s="185"/>
      <c r="H58" s="185"/>
      <c r="I58" s="176">
        <v>2181</v>
      </c>
      <c r="J58" s="176">
        <v>2156</v>
      </c>
      <c r="K58" s="176">
        <f>1935.655</f>
        <v>1935.655</v>
      </c>
      <c r="L58" s="176">
        <v>1935.655</v>
      </c>
      <c r="M58" s="185"/>
    </row>
    <row r="59" spans="1:13" s="129" customFormat="1" ht="16.5" customHeight="1">
      <c r="A59" s="790"/>
      <c r="B59" s="151"/>
      <c r="C59" s="151"/>
      <c r="D59" s="151"/>
      <c r="E59" s="110" t="s">
        <v>33</v>
      </c>
      <c r="F59" s="151"/>
      <c r="G59" s="185"/>
      <c r="H59" s="185"/>
      <c r="I59" s="174">
        <v>1400</v>
      </c>
      <c r="J59" s="174">
        <v>1400</v>
      </c>
      <c r="K59" s="174">
        <v>514</v>
      </c>
      <c r="L59" s="174">
        <v>514</v>
      </c>
      <c r="M59" s="185"/>
    </row>
    <row r="60" spans="1:13" ht="12" customHeight="1">
      <c r="A60" s="365"/>
      <c r="B60" s="110"/>
      <c r="C60" s="110"/>
      <c r="D60" s="110"/>
      <c r="E60" s="110" t="s">
        <v>1047</v>
      </c>
      <c r="F60" s="110"/>
      <c r="G60" s="128"/>
      <c r="H60" s="128"/>
      <c r="I60" s="174">
        <v>388</v>
      </c>
      <c r="J60" s="174">
        <v>388</v>
      </c>
      <c r="K60" s="174"/>
      <c r="L60" s="174"/>
      <c r="M60" s="128"/>
    </row>
    <row r="61" spans="1:13" ht="12" customHeight="1">
      <c r="A61" s="365"/>
      <c r="B61" s="110"/>
      <c r="C61" s="110"/>
      <c r="D61" s="110"/>
      <c r="E61" s="110" t="s">
        <v>32</v>
      </c>
      <c r="F61" s="110"/>
      <c r="G61" s="128"/>
      <c r="H61" s="128"/>
      <c r="I61" s="174"/>
      <c r="J61" s="174"/>
      <c r="K61" s="174">
        <v>583</v>
      </c>
      <c r="L61" s="174">
        <v>583</v>
      </c>
      <c r="M61" s="128"/>
    </row>
    <row r="62" spans="1:13" ht="12.75">
      <c r="A62" s="365"/>
      <c r="B62" s="110"/>
      <c r="C62" s="110"/>
      <c r="D62" s="110"/>
      <c r="E62" s="110" t="s">
        <v>1048</v>
      </c>
      <c r="F62" s="110"/>
      <c r="G62" s="128"/>
      <c r="H62" s="128"/>
      <c r="I62" s="174">
        <v>142</v>
      </c>
      <c r="J62" s="174">
        <v>142</v>
      </c>
      <c r="K62" s="174"/>
      <c r="L62" s="174"/>
      <c r="M62" s="128"/>
    </row>
    <row r="63" spans="1:13" ht="12.75">
      <c r="A63" s="365"/>
      <c r="B63" s="110"/>
      <c r="C63" s="110"/>
      <c r="D63" s="110"/>
      <c r="E63" s="110" t="s">
        <v>1009</v>
      </c>
      <c r="F63" s="110"/>
      <c r="G63" s="128"/>
      <c r="H63" s="128"/>
      <c r="I63" s="174">
        <v>80</v>
      </c>
      <c r="J63" s="174">
        <v>55</v>
      </c>
      <c r="K63" s="174">
        <v>839</v>
      </c>
      <c r="L63" s="174">
        <v>839</v>
      </c>
      <c r="M63" s="128"/>
    </row>
    <row r="64" spans="1:13" ht="12.75">
      <c r="A64" s="365"/>
      <c r="B64" s="110"/>
      <c r="C64" s="110"/>
      <c r="D64" s="110"/>
      <c r="E64" s="110" t="s">
        <v>1049</v>
      </c>
      <c r="F64" s="110"/>
      <c r="G64" s="128"/>
      <c r="H64" s="128"/>
      <c r="I64" s="174">
        <v>171</v>
      </c>
      <c r="J64" s="174">
        <v>171</v>
      </c>
      <c r="K64" s="174"/>
      <c r="L64" s="174"/>
      <c r="M64" s="128"/>
    </row>
    <row r="65" spans="1:13" ht="12.75">
      <c r="A65" s="365"/>
      <c r="B65" s="110"/>
      <c r="C65" s="110"/>
      <c r="D65" s="110"/>
      <c r="E65" s="110"/>
      <c r="F65" s="110"/>
      <c r="G65" s="128"/>
      <c r="H65" s="128"/>
      <c r="I65" s="174"/>
      <c r="J65" s="174"/>
      <c r="K65" s="174"/>
      <c r="L65" s="174"/>
      <c r="M65" s="128"/>
    </row>
    <row r="66" spans="1:13" ht="12.75">
      <c r="A66" s="365"/>
      <c r="B66" s="110"/>
      <c r="C66" s="110"/>
      <c r="D66" s="110"/>
      <c r="E66" s="110"/>
      <c r="F66" s="110"/>
      <c r="G66" s="128"/>
      <c r="H66" s="128"/>
      <c r="I66" s="174"/>
      <c r="J66" s="174"/>
      <c r="K66" s="174"/>
      <c r="L66" s="174"/>
      <c r="M66" s="128"/>
    </row>
    <row r="67" spans="1:13" s="129" customFormat="1" ht="12.75">
      <c r="A67" s="790"/>
      <c r="B67" s="151"/>
      <c r="C67" s="93"/>
      <c r="D67" s="151" t="s">
        <v>1050</v>
      </c>
      <c r="E67" s="151"/>
      <c r="F67" s="151"/>
      <c r="G67" s="185"/>
      <c r="H67" s="185"/>
      <c r="I67" s="176">
        <v>133</v>
      </c>
      <c r="J67" s="176">
        <v>135</v>
      </c>
      <c r="K67" s="176">
        <v>33</v>
      </c>
      <c r="L67" s="176">
        <v>33</v>
      </c>
      <c r="M67" s="185"/>
    </row>
    <row r="68" spans="2:13" ht="12.75">
      <c r="B68" s="110"/>
      <c r="C68" s="365"/>
      <c r="D68" s="110"/>
      <c r="E68" s="110" t="s">
        <v>1051</v>
      </c>
      <c r="F68" s="110"/>
      <c r="G68" s="128"/>
      <c r="H68" s="128"/>
      <c r="I68" s="174">
        <v>45</v>
      </c>
      <c r="J68" s="174">
        <v>45</v>
      </c>
      <c r="K68" s="174"/>
      <c r="L68" s="174"/>
      <c r="M68" s="128"/>
    </row>
    <row r="69" spans="1:31" ht="12.75">
      <c r="A69" s="365"/>
      <c r="B69" s="110"/>
      <c r="C69" s="110"/>
      <c r="D69" s="110"/>
      <c r="E69" s="110" t="s">
        <v>865</v>
      </c>
      <c r="F69" s="110"/>
      <c r="G69" s="128"/>
      <c r="H69" s="128"/>
      <c r="I69" s="174">
        <v>52</v>
      </c>
      <c r="J69" s="174">
        <v>54</v>
      </c>
      <c r="K69" s="174">
        <v>17</v>
      </c>
      <c r="L69" s="174">
        <v>17</v>
      </c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</row>
    <row r="70" spans="1:31" ht="12.75">
      <c r="A70" s="365"/>
      <c r="B70" s="110"/>
      <c r="C70" s="110"/>
      <c r="D70" s="110"/>
      <c r="E70" s="110" t="s">
        <v>1052</v>
      </c>
      <c r="F70" s="110"/>
      <c r="G70" s="128"/>
      <c r="H70" s="128"/>
      <c r="I70" s="174">
        <v>36</v>
      </c>
      <c r="J70" s="174">
        <v>36</v>
      </c>
      <c r="K70" s="174">
        <v>16</v>
      </c>
      <c r="L70" s="174">
        <v>16</v>
      </c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</row>
    <row r="71" spans="1:31" s="760" customFormat="1" ht="13.5" thickBot="1">
      <c r="A71" s="790"/>
      <c r="B71" s="151" t="s">
        <v>38</v>
      </c>
      <c r="C71" s="151"/>
      <c r="D71" s="151"/>
      <c r="E71" s="151"/>
      <c r="F71" s="151"/>
      <c r="G71" s="720" t="e">
        <f>G72+G73+#REF!</f>
        <v>#REF!</v>
      </c>
      <c r="H71" s="720" t="e">
        <f>H72+H73+#REF!</f>
        <v>#REF!</v>
      </c>
      <c r="I71" s="758">
        <v>401</v>
      </c>
      <c r="J71" s="758">
        <v>432</v>
      </c>
      <c r="K71" s="758">
        <v>404</v>
      </c>
      <c r="L71" s="758">
        <v>677</v>
      </c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</row>
    <row r="72" spans="1:31" ht="12.75">
      <c r="A72" s="365"/>
      <c r="B72" s="110"/>
      <c r="C72" s="110" t="s">
        <v>1016</v>
      </c>
      <c r="D72" s="110"/>
      <c r="E72" s="110"/>
      <c r="F72" s="110"/>
      <c r="G72" s="722">
        <f>100+11.5</f>
        <v>111.5</v>
      </c>
      <c r="H72" s="133"/>
      <c r="I72" s="759">
        <v>98</v>
      </c>
      <c r="J72" s="759">
        <v>100</v>
      </c>
      <c r="K72" s="759">
        <f>120+50</f>
        <v>170</v>
      </c>
      <c r="L72" s="174">
        <v>228.11</v>
      </c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</row>
    <row r="73" spans="1:31" s="761" customFormat="1" ht="13.5" thickBot="1">
      <c r="A73" s="365"/>
      <c r="B73" s="128"/>
      <c r="C73" s="110" t="s">
        <v>866</v>
      </c>
      <c r="D73" s="110"/>
      <c r="E73" s="110"/>
      <c r="F73" s="110"/>
      <c r="G73" s="722">
        <f>G74</f>
        <v>23</v>
      </c>
      <c r="H73" s="722">
        <f>H74</f>
        <v>0</v>
      </c>
      <c r="I73" s="759">
        <v>303</v>
      </c>
      <c r="J73" s="759">
        <v>332</v>
      </c>
      <c r="K73" s="759">
        <f>K74</f>
        <v>234.065</v>
      </c>
      <c r="L73" s="759">
        <f>L74</f>
        <v>251.029</v>
      </c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</row>
    <row r="74" spans="1:31" ht="12.75">
      <c r="A74" s="365"/>
      <c r="B74" s="110"/>
      <c r="C74" s="110" t="s">
        <v>729</v>
      </c>
      <c r="D74" s="110"/>
      <c r="E74" s="110"/>
      <c r="F74" s="110"/>
      <c r="G74" s="722">
        <f>SUM(G75:G78)</f>
        <v>23</v>
      </c>
      <c r="H74" s="722">
        <f>SUM(H75:H78)</f>
        <v>0</v>
      </c>
      <c r="I74" s="759">
        <v>303</v>
      </c>
      <c r="J74" s="759">
        <v>332</v>
      </c>
      <c r="K74" s="759">
        <f>SUM(K75:K78)</f>
        <v>234.065</v>
      </c>
      <c r="L74" s="759">
        <f>SUM(L75:L78)</f>
        <v>251.029</v>
      </c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</row>
    <row r="75" spans="1:31" ht="12.75">
      <c r="A75" s="365"/>
      <c r="B75" s="110"/>
      <c r="C75" s="110"/>
      <c r="D75" s="110" t="s">
        <v>577</v>
      </c>
      <c r="E75" s="110"/>
      <c r="F75" s="110"/>
      <c r="G75" s="722"/>
      <c r="H75" s="133"/>
      <c r="I75" s="759">
        <v>278</v>
      </c>
      <c r="J75" s="759">
        <v>283</v>
      </c>
      <c r="K75" s="759">
        <v>214.065</v>
      </c>
      <c r="L75" s="174">
        <v>236.666</v>
      </c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</row>
    <row r="76" spans="1:31" ht="12.75">
      <c r="A76" s="365"/>
      <c r="B76" s="110"/>
      <c r="C76" s="110"/>
      <c r="D76" s="110" t="s">
        <v>23</v>
      </c>
      <c r="E76" s="110"/>
      <c r="F76" s="110"/>
      <c r="G76" s="722">
        <v>20</v>
      </c>
      <c r="H76" s="133"/>
      <c r="I76" s="759">
        <v>20</v>
      </c>
      <c r="J76" s="759">
        <v>15</v>
      </c>
      <c r="K76" s="759">
        <v>20</v>
      </c>
      <c r="L76" s="174">
        <v>12.725</v>
      </c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</row>
    <row r="77" spans="1:31" ht="12.75">
      <c r="A77" s="365"/>
      <c r="B77" s="110"/>
      <c r="C77" s="110"/>
      <c r="D77" s="110" t="s">
        <v>1040</v>
      </c>
      <c r="E77" s="110"/>
      <c r="F77" s="110"/>
      <c r="G77" s="722"/>
      <c r="H77" s="133"/>
      <c r="I77" s="759"/>
      <c r="J77" s="759">
        <v>22</v>
      </c>
      <c r="K77" s="759"/>
      <c r="L77" s="174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</row>
    <row r="78" spans="1:31" ht="12.75">
      <c r="A78" s="365"/>
      <c r="B78" s="110"/>
      <c r="C78" s="110"/>
      <c r="D78" s="110" t="s">
        <v>867</v>
      </c>
      <c r="E78" s="110"/>
      <c r="F78" s="110"/>
      <c r="G78" s="722">
        <v>3</v>
      </c>
      <c r="H78" s="133"/>
      <c r="I78" s="759">
        <v>5</v>
      </c>
      <c r="J78" s="759">
        <v>12</v>
      </c>
      <c r="K78" s="759">
        <f>3-3</f>
        <v>0</v>
      </c>
      <c r="L78" s="174">
        <f>1.638</f>
        <v>1.638</v>
      </c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</row>
    <row r="79" spans="1:31" ht="12.75">
      <c r="A79" s="365"/>
      <c r="B79" s="110"/>
      <c r="C79" s="110"/>
      <c r="D79" s="110"/>
      <c r="E79" s="110"/>
      <c r="F79" s="110"/>
      <c r="G79" s="722"/>
      <c r="H79" s="133"/>
      <c r="I79" s="759"/>
      <c r="J79" s="759"/>
      <c r="K79" s="759"/>
      <c r="L79" s="174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</row>
    <row r="80" spans="1:31" ht="13.5" customHeight="1">
      <c r="A80" s="790"/>
      <c r="B80" s="151"/>
      <c r="C80" s="151" t="s">
        <v>1041</v>
      </c>
      <c r="D80" s="151"/>
      <c r="E80" s="151"/>
      <c r="F80" s="151"/>
      <c r="G80" s="720">
        <f>64.5+11+34.5+20+30+4</f>
        <v>164</v>
      </c>
      <c r="H80" s="721"/>
      <c r="I80" s="758">
        <v>2698</v>
      </c>
      <c r="J80" s="758">
        <v>2799</v>
      </c>
      <c r="K80" s="758">
        <v>1704</v>
      </c>
      <c r="L80" s="176">
        <f>1704+0.188</f>
        <v>1704.188</v>
      </c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</row>
    <row r="81" spans="1:31" s="760" customFormat="1" ht="13.5" thickBot="1">
      <c r="A81" s="790"/>
      <c r="B81" s="151" t="s">
        <v>1042</v>
      </c>
      <c r="C81" s="151"/>
      <c r="D81" s="151"/>
      <c r="E81" s="151"/>
      <c r="F81" s="151"/>
      <c r="G81" s="720"/>
      <c r="H81" s="721"/>
      <c r="I81" s="758">
        <v>1028</v>
      </c>
      <c r="J81" s="758">
        <v>1028</v>
      </c>
      <c r="K81" s="758">
        <f>432</f>
        <v>432</v>
      </c>
      <c r="L81" s="758">
        <f>432</f>
        <v>432</v>
      </c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</row>
    <row r="82" spans="1:31" s="334" customFormat="1" ht="15.75">
      <c r="A82" s="653" t="s">
        <v>1095</v>
      </c>
      <c r="B82" s="194"/>
      <c r="C82" s="194"/>
      <c r="D82" s="194"/>
      <c r="E82" s="194"/>
      <c r="F82" s="194"/>
      <c r="G82" s="194"/>
      <c r="H82" s="194"/>
      <c r="I82" s="757">
        <v>21460</v>
      </c>
      <c r="J82" s="757">
        <v>22371</v>
      </c>
      <c r="K82" s="757">
        <v>19033</v>
      </c>
      <c r="L82" s="757">
        <v>19856</v>
      </c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</row>
    <row r="83" spans="1:31" ht="12.75">
      <c r="A83" s="128"/>
      <c r="B83" s="128"/>
      <c r="C83" s="128"/>
      <c r="D83" s="128"/>
      <c r="E83" s="128"/>
      <c r="F83" s="128"/>
      <c r="G83" s="128"/>
      <c r="H83" s="128"/>
      <c r="I83" s="174"/>
      <c r="J83" s="174"/>
      <c r="K83" s="174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</row>
    <row r="84" spans="1:13" ht="12.75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</row>
    <row r="85" spans="1:13" ht="14.25">
      <c r="A85" s="833" t="s">
        <v>1094</v>
      </c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</row>
    <row r="86" spans="1:13" ht="12.75">
      <c r="A86" s="128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</row>
    <row r="87" spans="1:13" ht="12.75">
      <c r="A87" s="128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</row>
    <row r="88" spans="1:13" ht="12.75">
      <c r="A88" s="128"/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</row>
  </sheetData>
  <printOptions/>
  <pageMargins left="0.7480314960629921" right="0.15748031496062992" top="0.3937007874015748" bottom="0.1968503937007874" header="0.11811023622047245" footer="0.11811023622047245"/>
  <pageSetup horizontalDpi="600" verticalDpi="600" orientation="portrait" paperSize="9" r:id="rId1"/>
  <headerFooter alignWithMargins="0">
    <oddFooter>&amp;C10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1" sqref="A1:IV16384"/>
    </sheetView>
  </sheetViews>
  <sheetFormatPr defaultColWidth="9.140625" defaultRowHeight="12.75"/>
  <cols>
    <col min="1" max="1" width="7.00390625" style="93" customWidth="1"/>
    <col min="2" max="2" width="4.8515625" style="93" customWidth="1"/>
    <col min="3" max="3" width="4.00390625" style="93" customWidth="1"/>
    <col min="4" max="4" width="3.00390625" style="93" customWidth="1"/>
    <col min="5" max="5" width="2.8515625" style="93" customWidth="1"/>
    <col min="6" max="6" width="44.7109375" style="93" customWidth="1"/>
    <col min="7" max="7" width="8.421875" style="93" customWidth="1"/>
    <col min="8" max="8" width="7.421875" style="93" hidden="1" customWidth="1"/>
    <col min="9" max="9" width="9.421875" style="93" bestFit="1" customWidth="1"/>
    <col min="10" max="10" width="7.00390625" style="238" bestFit="1" customWidth="1"/>
    <col min="11" max="11" width="6.57421875" style="93" bestFit="1" customWidth="1"/>
    <col min="12" max="16384" width="9.140625" style="93" customWidth="1"/>
  </cols>
  <sheetData>
    <row r="1" spans="7:9" ht="12.75">
      <c r="G1" s="363"/>
      <c r="I1" s="363"/>
    </row>
    <row r="2" spans="1:9" ht="18.75">
      <c r="A2" s="336" t="s">
        <v>494</v>
      </c>
      <c r="I2" s="364"/>
    </row>
    <row r="3" spans="1:9" ht="14.25" customHeight="1">
      <c r="A3" s="365"/>
      <c r="B3" s="110"/>
      <c r="C3" s="110"/>
      <c r="D3" s="366"/>
      <c r="E3" s="110"/>
      <c r="F3" s="110"/>
      <c r="G3" s="367" t="s">
        <v>375</v>
      </c>
      <c r="H3" s="314"/>
      <c r="I3" s="367"/>
    </row>
    <row r="4" spans="1:11" ht="38.25">
      <c r="A4" s="368" t="s">
        <v>713</v>
      </c>
      <c r="B4" s="116" t="s">
        <v>714</v>
      </c>
      <c r="C4" s="117"/>
      <c r="D4" s="117"/>
      <c r="E4" s="117"/>
      <c r="F4" s="124"/>
      <c r="G4" s="369">
        <v>2003</v>
      </c>
      <c r="H4" s="370" t="s">
        <v>0</v>
      </c>
      <c r="I4" s="369">
        <v>2004</v>
      </c>
      <c r="J4" s="645" t="s">
        <v>763</v>
      </c>
      <c r="K4" s="646" t="s">
        <v>762</v>
      </c>
    </row>
    <row r="5" spans="1:11" ht="15.75">
      <c r="A5" s="371">
        <v>3</v>
      </c>
      <c r="B5" s="372" t="s">
        <v>1</v>
      </c>
      <c r="C5" s="151"/>
      <c r="D5" s="151"/>
      <c r="E5" s="151"/>
      <c r="F5" s="151"/>
      <c r="G5" s="156">
        <f>G6+G10+G37+G53</f>
        <v>12625.5</v>
      </c>
      <c r="H5" s="156" t="e">
        <f>H6+H10+H37+H53</f>
        <v>#REF!</v>
      </c>
      <c r="I5" s="680">
        <f>I6+I10+I37+I53</f>
        <v>13568.9816</v>
      </c>
      <c r="J5" s="393">
        <f>I5/G5</f>
        <v>1.074728256306681</v>
      </c>
      <c r="K5" s="238"/>
    </row>
    <row r="6" spans="1:11" s="129" customFormat="1" ht="12.75">
      <c r="A6" s="373">
        <v>30</v>
      </c>
      <c r="B6" s="153" t="s">
        <v>2</v>
      </c>
      <c r="C6" s="153"/>
      <c r="D6" s="153"/>
      <c r="E6" s="153"/>
      <c r="F6" s="153"/>
      <c r="G6" s="360">
        <f>SUM(G7:G9)</f>
        <v>6122</v>
      </c>
      <c r="H6" s="374">
        <f>SUM(H7:H9)</f>
        <v>0</v>
      </c>
      <c r="I6" s="360">
        <f>SUM(I7:I9)</f>
        <v>7450</v>
      </c>
      <c r="J6" s="243">
        <f>I6/G6</f>
        <v>1.216922574322117</v>
      </c>
      <c r="K6" s="243">
        <f>I6/I5</f>
        <v>0.5490463632141708</v>
      </c>
    </row>
    <row r="7" spans="1:9" ht="12.75">
      <c r="A7" s="349">
        <v>3000</v>
      </c>
      <c r="B7" s="110"/>
      <c r="C7" s="110" t="s">
        <v>3</v>
      </c>
      <c r="D7" s="110"/>
      <c r="E7" s="110"/>
      <c r="F7" s="110"/>
      <c r="G7" s="356">
        <f>4950+22</f>
        <v>4972</v>
      </c>
      <c r="H7" s="351"/>
      <c r="I7" s="356">
        <f>5911+27+316+46</f>
        <v>6300</v>
      </c>
    </row>
    <row r="8" spans="1:9" ht="13.5" thickBot="1">
      <c r="A8" s="349">
        <v>3030</v>
      </c>
      <c r="B8" s="110"/>
      <c r="C8" s="110" t="s">
        <v>4</v>
      </c>
      <c r="D8" s="110"/>
      <c r="E8" s="110"/>
      <c r="F8" s="110"/>
      <c r="G8" s="359">
        <v>1150</v>
      </c>
      <c r="H8" s="351"/>
      <c r="I8" s="359">
        <v>1150</v>
      </c>
    </row>
    <row r="9" spans="1:10" ht="13.5" hidden="1" thickBot="1">
      <c r="A9" s="349" t="s">
        <v>5</v>
      </c>
      <c r="B9" s="110"/>
      <c r="C9" s="110" t="s">
        <v>6</v>
      </c>
      <c r="D9" s="110"/>
      <c r="E9" s="110"/>
      <c r="F9" s="110"/>
      <c r="G9" s="139"/>
      <c r="H9" s="351"/>
      <c r="I9" s="139"/>
      <c r="J9" s="238" t="e">
        <f>I9/G9</f>
        <v>#DIV/0!</v>
      </c>
    </row>
    <row r="10" spans="1:11" s="129" customFormat="1" ht="13.5" thickBot="1">
      <c r="A10" s="346">
        <v>32</v>
      </c>
      <c r="B10" s="108" t="s">
        <v>7</v>
      </c>
      <c r="C10" s="108"/>
      <c r="D10" s="109"/>
      <c r="E10" s="108"/>
      <c r="F10" s="108"/>
      <c r="G10" s="375">
        <f>G11+G12+G32</f>
        <v>756</v>
      </c>
      <c r="H10" s="348">
        <f>H11+H12+H32</f>
        <v>0</v>
      </c>
      <c r="I10" s="375">
        <f>I11+I12+I32</f>
        <v>766.9349200000001</v>
      </c>
      <c r="J10" s="243">
        <f>I10/G10</f>
        <v>1.01446417989418</v>
      </c>
      <c r="K10" s="243">
        <f>I10/I5</f>
        <v>0.05652118505341626</v>
      </c>
    </row>
    <row r="11" spans="1:9" ht="12.75">
      <c r="A11" s="349">
        <v>320</v>
      </c>
      <c r="B11" s="110"/>
      <c r="C11" s="110" t="s">
        <v>8</v>
      </c>
      <c r="D11" s="110"/>
      <c r="E11" s="110"/>
      <c r="F11" s="110"/>
      <c r="G11" s="350">
        <f>1+10</f>
        <v>11</v>
      </c>
      <c r="H11" s="351"/>
      <c r="I11" s="350">
        <v>17</v>
      </c>
    </row>
    <row r="12" spans="1:9" ht="12.75">
      <c r="A12" s="355">
        <v>322</v>
      </c>
      <c r="B12" s="117"/>
      <c r="C12" s="117" t="s">
        <v>7</v>
      </c>
      <c r="D12" s="117"/>
      <c r="E12" s="117"/>
      <c r="F12" s="117"/>
      <c r="G12" s="356">
        <f>G13+G24+G25+G26+G27+G28</f>
        <v>731</v>
      </c>
      <c r="H12" s="357">
        <f>SUM(H13:H29)</f>
        <v>0</v>
      </c>
      <c r="I12" s="356">
        <f>I13+I24+I25+I26+I27+I28</f>
        <v>733.4349200000001</v>
      </c>
    </row>
    <row r="13" spans="1:9" ht="12.75">
      <c r="A13" s="349">
        <v>3220</v>
      </c>
      <c r="B13" s="110"/>
      <c r="C13" s="110"/>
      <c r="D13" s="110" t="s">
        <v>715</v>
      </c>
      <c r="E13" s="110"/>
      <c r="F13" s="110"/>
      <c r="G13" s="356">
        <f>SUM(G14:G23)</f>
        <v>129</v>
      </c>
      <c r="H13" s="356">
        <f>SUM(H14:H23)</f>
        <v>0</v>
      </c>
      <c r="I13" s="356">
        <f>SUM(I14:I23)</f>
        <v>130.79950000000002</v>
      </c>
    </row>
    <row r="14" spans="1:9" ht="12.75">
      <c r="A14" s="349"/>
      <c r="B14" s="110"/>
      <c r="C14" s="110"/>
      <c r="D14" s="110" t="s">
        <v>716</v>
      </c>
      <c r="E14" s="110"/>
      <c r="F14" s="110"/>
      <c r="G14" s="356">
        <v>20</v>
      </c>
      <c r="H14" s="351"/>
      <c r="I14" s="356">
        <v>20</v>
      </c>
    </row>
    <row r="15" spans="1:9" ht="12.75">
      <c r="A15" s="349"/>
      <c r="B15" s="110"/>
      <c r="C15" s="110"/>
      <c r="D15" s="110" t="s">
        <v>744</v>
      </c>
      <c r="E15" s="110"/>
      <c r="F15" s="110"/>
      <c r="G15" s="356"/>
      <c r="H15" s="351"/>
      <c r="I15" s="356">
        <f>(3.5*175*69)/1000-42.263</f>
        <v>-0.000499999999995282</v>
      </c>
    </row>
    <row r="16" spans="1:9" ht="12" customHeight="1">
      <c r="A16" s="349"/>
      <c r="B16" s="110"/>
      <c r="C16" s="110"/>
      <c r="D16" s="110" t="s">
        <v>717</v>
      </c>
      <c r="E16" s="110"/>
      <c r="F16" s="110"/>
      <c r="G16" s="356">
        <v>22</v>
      </c>
      <c r="H16" s="351"/>
      <c r="I16" s="356">
        <v>22</v>
      </c>
    </row>
    <row r="17" spans="1:9" ht="12" customHeight="1">
      <c r="A17" s="349"/>
      <c r="B17" s="110"/>
      <c r="C17" s="110"/>
      <c r="D17" s="110" t="s">
        <v>745</v>
      </c>
      <c r="E17" s="110"/>
      <c r="F17" s="110"/>
      <c r="G17" s="356"/>
      <c r="H17" s="351"/>
      <c r="I17" s="356">
        <f>(3.5*76*175)/1000-46.55</f>
        <v>0</v>
      </c>
    </row>
    <row r="18" spans="1:9" ht="12" customHeight="1">
      <c r="A18" s="349"/>
      <c r="B18" s="110"/>
      <c r="C18" s="110"/>
      <c r="D18" s="110" t="s">
        <v>718</v>
      </c>
      <c r="E18" s="110"/>
      <c r="F18" s="110"/>
      <c r="G18" s="356">
        <v>13.6</v>
      </c>
      <c r="H18" s="351"/>
      <c r="I18" s="356">
        <v>15</v>
      </c>
    </row>
    <row r="19" spans="1:9" ht="12" customHeight="1">
      <c r="A19" s="349"/>
      <c r="B19" s="110"/>
      <c r="C19" s="110"/>
      <c r="D19" s="110" t="s">
        <v>719</v>
      </c>
      <c r="E19" s="110"/>
      <c r="F19" s="110"/>
      <c r="G19" s="356">
        <v>4.4</v>
      </c>
      <c r="H19" s="351"/>
      <c r="I19" s="356">
        <f>Haridus!E45/1000</f>
        <v>4</v>
      </c>
    </row>
    <row r="20" spans="1:9" ht="12" customHeight="1">
      <c r="A20" s="349"/>
      <c r="B20" s="110"/>
      <c r="C20" s="110"/>
      <c r="D20" s="110" t="s">
        <v>720</v>
      </c>
      <c r="E20" s="110"/>
      <c r="F20" s="110"/>
      <c r="G20" s="356">
        <v>28</v>
      </c>
      <c r="H20" s="351"/>
      <c r="I20" s="356">
        <f>Haridus!E39/1000</f>
        <v>28</v>
      </c>
    </row>
    <row r="21" spans="1:9" ht="12" customHeight="1">
      <c r="A21" s="349"/>
      <c r="B21" s="110"/>
      <c r="C21" s="110"/>
      <c r="D21" s="110" t="s">
        <v>721</v>
      </c>
      <c r="E21" s="110"/>
      <c r="F21" s="110"/>
      <c r="G21" s="356">
        <v>13</v>
      </c>
      <c r="H21" s="351"/>
      <c r="I21" s="356">
        <v>13.8</v>
      </c>
    </row>
    <row r="22" spans="1:9" ht="12" customHeight="1">
      <c r="A22" s="349"/>
      <c r="B22" s="110"/>
      <c r="C22" s="110"/>
      <c r="D22" s="110" t="s">
        <v>722</v>
      </c>
      <c r="E22" s="110"/>
      <c r="F22" s="110"/>
      <c r="G22" s="356">
        <v>4</v>
      </c>
      <c r="H22" s="351"/>
      <c r="I22" s="356">
        <f>Haridus!F45/1000</f>
        <v>4</v>
      </c>
    </row>
    <row r="23" spans="1:9" ht="12" customHeight="1">
      <c r="A23" s="349"/>
      <c r="B23" s="110"/>
      <c r="C23" s="110"/>
      <c r="D23" s="110" t="s">
        <v>723</v>
      </c>
      <c r="E23" s="110"/>
      <c r="F23" s="110"/>
      <c r="G23" s="356">
        <v>24</v>
      </c>
      <c r="H23" s="351"/>
      <c r="I23" s="356">
        <f>Haridus!F39/1000</f>
        <v>24</v>
      </c>
    </row>
    <row r="24" spans="1:10" s="178" customFormat="1" ht="12.75" hidden="1">
      <c r="A24" s="376" t="s">
        <v>9</v>
      </c>
      <c r="B24" s="377"/>
      <c r="C24" s="377"/>
      <c r="D24" s="378" t="s">
        <v>10</v>
      </c>
      <c r="E24" s="377"/>
      <c r="F24" s="377"/>
      <c r="G24" s="228"/>
      <c r="H24" s="49"/>
      <c r="I24" s="228"/>
      <c r="J24" s="238"/>
    </row>
    <row r="25" spans="1:9" ht="12.75">
      <c r="A25" s="349">
        <v>3222</v>
      </c>
      <c r="B25" s="110"/>
      <c r="C25" s="110"/>
      <c r="D25" s="127" t="s">
        <v>11</v>
      </c>
      <c r="E25" s="110"/>
      <c r="F25" s="110"/>
      <c r="G25" s="356">
        <v>36</v>
      </c>
      <c r="H25" s="351"/>
      <c r="I25" s="356">
        <v>36</v>
      </c>
    </row>
    <row r="26" spans="1:9" ht="12.75" hidden="1">
      <c r="A26" s="349" t="s">
        <v>12</v>
      </c>
      <c r="B26" s="110"/>
      <c r="C26" s="110"/>
      <c r="D26" s="127" t="s">
        <v>13</v>
      </c>
      <c r="E26" s="110"/>
      <c r="F26" s="110"/>
      <c r="G26" s="356">
        <f>3-3</f>
        <v>0</v>
      </c>
      <c r="H26" s="351"/>
      <c r="I26" s="356"/>
    </row>
    <row r="27" spans="1:9" ht="12.75">
      <c r="A27" s="349">
        <v>3224</v>
      </c>
      <c r="B27" s="110"/>
      <c r="C27" s="110"/>
      <c r="D27" s="127" t="s">
        <v>14</v>
      </c>
      <c r="E27" s="110"/>
      <c r="F27" s="110"/>
      <c r="G27" s="356">
        <v>15</v>
      </c>
      <c r="H27" s="351"/>
      <c r="I27" s="356">
        <f>10+5</f>
        <v>15</v>
      </c>
    </row>
    <row r="28" spans="1:9" ht="12.75">
      <c r="A28" s="349">
        <v>3225</v>
      </c>
      <c r="B28" s="110"/>
      <c r="C28" s="110"/>
      <c r="D28" s="127" t="s">
        <v>724</v>
      </c>
      <c r="E28" s="110"/>
      <c r="F28" s="110"/>
      <c r="G28" s="356">
        <f>SUM(G29:G31)</f>
        <v>551</v>
      </c>
      <c r="H28" s="356">
        <f>SUM(H29:H31)</f>
        <v>0</v>
      </c>
      <c r="I28" s="356">
        <f>SUM(I29:I31)</f>
        <v>551.6354200000001</v>
      </c>
    </row>
    <row r="29" spans="1:9" ht="12.75">
      <c r="A29" s="349"/>
      <c r="B29" s="110"/>
      <c r="C29" s="110"/>
      <c r="D29" s="127" t="s">
        <v>725</v>
      </c>
      <c r="E29" s="110"/>
      <c r="F29" s="110"/>
      <c r="G29" s="356">
        <f>160+33-33+33</f>
        <v>193</v>
      </c>
      <c r="H29" s="351"/>
      <c r="I29" s="356">
        <f>MAJANDUS!S3/1000</f>
        <v>199.87333999999998</v>
      </c>
    </row>
    <row r="30" spans="1:9" ht="12.75">
      <c r="A30" s="349"/>
      <c r="D30" s="93" t="s">
        <v>726</v>
      </c>
      <c r="F30" s="379"/>
      <c r="G30" s="380">
        <v>352</v>
      </c>
      <c r="H30" s="379"/>
      <c r="I30" s="380">
        <f>MAJANDUS!L3/1000</f>
        <v>351.76208</v>
      </c>
    </row>
    <row r="31" spans="1:9" ht="12.75">
      <c r="A31" s="384"/>
      <c r="B31" s="389"/>
      <c r="C31" s="389"/>
      <c r="D31" s="389" t="s">
        <v>727</v>
      </c>
      <c r="E31" s="389"/>
      <c r="F31" s="381"/>
      <c r="G31" s="380">
        <v>6</v>
      </c>
      <c r="H31" s="381"/>
      <c r="I31" s="380"/>
    </row>
    <row r="32" spans="1:9" ht="12.75">
      <c r="A32" s="384">
        <v>323</v>
      </c>
      <c r="B32" s="123"/>
      <c r="C32" s="123" t="s">
        <v>15</v>
      </c>
      <c r="D32" s="385"/>
      <c r="E32" s="123"/>
      <c r="F32" s="123"/>
      <c r="G32" s="350">
        <f>SUM(G33:G36)</f>
        <v>14</v>
      </c>
      <c r="H32" s="121">
        <f>SUM(H33:H36)</f>
        <v>0</v>
      </c>
      <c r="I32" s="350">
        <f>SUM(I33:I36)</f>
        <v>16.5</v>
      </c>
    </row>
    <row r="33" spans="1:9" ht="12.75">
      <c r="A33" s="349">
        <v>3238</v>
      </c>
      <c r="B33" s="110"/>
      <c r="C33" s="110"/>
      <c r="D33" s="127" t="s">
        <v>16</v>
      </c>
      <c r="E33" s="110"/>
      <c r="F33" s="110"/>
      <c r="G33" s="350">
        <v>1</v>
      </c>
      <c r="H33" s="351"/>
      <c r="I33" s="350">
        <v>1.5</v>
      </c>
    </row>
    <row r="34" spans="1:9" ht="12.75" hidden="1">
      <c r="A34" s="349" t="s">
        <v>17</v>
      </c>
      <c r="B34" s="110"/>
      <c r="C34" s="110"/>
      <c r="D34" s="127" t="s">
        <v>18</v>
      </c>
      <c r="E34" s="110"/>
      <c r="F34" s="110"/>
      <c r="G34" s="356"/>
      <c r="H34" s="351"/>
      <c r="I34" s="356"/>
    </row>
    <row r="35" spans="1:9" ht="12.75" hidden="1">
      <c r="A35" s="349" t="s">
        <v>19</v>
      </c>
      <c r="B35" s="110"/>
      <c r="C35" s="110"/>
      <c r="D35" s="127" t="s">
        <v>20</v>
      </c>
      <c r="E35" s="110"/>
      <c r="F35" s="110"/>
      <c r="G35" s="356"/>
      <c r="H35" s="351"/>
      <c r="I35" s="356"/>
    </row>
    <row r="36" spans="1:9" ht="13.5" thickBot="1">
      <c r="A36" s="349">
        <v>3233</v>
      </c>
      <c r="B36" s="110"/>
      <c r="C36" s="110"/>
      <c r="D36" s="127" t="s">
        <v>21</v>
      </c>
      <c r="E36" s="110"/>
      <c r="F36" s="110"/>
      <c r="G36" s="356">
        <f>10+3</f>
        <v>13</v>
      </c>
      <c r="H36" s="351"/>
      <c r="I36" s="356">
        <f>2.4+3.6+6+3</f>
        <v>15</v>
      </c>
    </row>
    <row r="37" spans="1:11" s="129" customFormat="1" ht="13.5" thickBot="1">
      <c r="A37" s="346">
        <v>35</v>
      </c>
      <c r="B37" s="108" t="s">
        <v>25</v>
      </c>
      <c r="C37" s="108"/>
      <c r="D37" s="108"/>
      <c r="E37" s="108"/>
      <c r="F37" s="108"/>
      <c r="G37" s="347">
        <f>G39+G45+G47+G52</f>
        <v>5449</v>
      </c>
      <c r="H37" s="348" t="e">
        <f>#REF!+H38+H52+#REF!+#REF!+#REF!</f>
        <v>#REF!</v>
      </c>
      <c r="I37" s="347">
        <f>I39+I45+I47+I52</f>
        <v>4835</v>
      </c>
      <c r="J37" s="243">
        <f aca="true" t="shared" si="0" ref="J37:J44">I37/G37</f>
        <v>0.8873187740869884</v>
      </c>
      <c r="K37" s="243">
        <f>I37/I5</f>
        <v>0.35632740485107595</v>
      </c>
    </row>
    <row r="38" spans="1:10" ht="12.75">
      <c r="A38" s="355" t="s">
        <v>731</v>
      </c>
      <c r="B38" s="117"/>
      <c r="C38" s="117" t="s">
        <v>26</v>
      </c>
      <c r="D38" s="117"/>
      <c r="E38" s="117"/>
      <c r="F38" s="117"/>
      <c r="G38" s="360">
        <f>G39+G45+G47</f>
        <v>5421</v>
      </c>
      <c r="H38" s="360" t="e">
        <f>H39+H45+H47</f>
        <v>#REF!</v>
      </c>
      <c r="I38" s="360">
        <f>I39+I45+I47</f>
        <v>4805</v>
      </c>
      <c r="J38" s="238">
        <f t="shared" si="0"/>
        <v>0.886367828813872</v>
      </c>
    </row>
    <row r="39" spans="1:10" ht="13.5" customHeight="1">
      <c r="A39" s="349"/>
      <c r="B39" s="110"/>
      <c r="C39" s="110"/>
      <c r="D39" s="110" t="s">
        <v>454</v>
      </c>
      <c r="E39" s="110"/>
      <c r="F39" s="110"/>
      <c r="G39" s="360">
        <f>SUM(G41:G44)</f>
        <v>5262</v>
      </c>
      <c r="H39" s="358" t="e">
        <f>SUM(H40:H50)</f>
        <v>#REF!</v>
      </c>
      <c r="I39" s="360">
        <f>SUM(I41:I44)</f>
        <v>4665</v>
      </c>
      <c r="J39" s="238">
        <f t="shared" si="0"/>
        <v>0.88654503990878</v>
      </c>
    </row>
    <row r="40" spans="1:10" ht="12.75" hidden="1">
      <c r="A40" s="349"/>
      <c r="B40" s="110">
        <v>100</v>
      </c>
      <c r="C40" s="110"/>
      <c r="D40" s="110"/>
      <c r="E40" s="110" t="s">
        <v>27</v>
      </c>
      <c r="F40" s="110"/>
      <c r="G40" s="356"/>
      <c r="H40" s="351"/>
      <c r="I40" s="356"/>
      <c r="J40" s="238" t="e">
        <f t="shared" si="0"/>
        <v>#DIV/0!</v>
      </c>
    </row>
    <row r="41" spans="1:10" ht="12.75">
      <c r="A41" s="349"/>
      <c r="B41" s="110"/>
      <c r="C41" s="361"/>
      <c r="D41" s="110"/>
      <c r="E41" s="110"/>
      <c r="F41" s="110" t="s">
        <v>28</v>
      </c>
      <c r="G41" s="356">
        <v>724</v>
      </c>
      <c r="H41" s="351"/>
      <c r="I41" s="356">
        <v>639</v>
      </c>
      <c r="J41" s="238">
        <f t="shared" si="0"/>
        <v>0.8825966850828729</v>
      </c>
    </row>
    <row r="42" spans="1:11" ht="12.75">
      <c r="A42" s="349"/>
      <c r="B42" s="110"/>
      <c r="C42" s="361"/>
      <c r="D42" s="110"/>
      <c r="E42" s="110"/>
      <c r="F42" s="110" t="s">
        <v>29</v>
      </c>
      <c r="G42" s="356">
        <f>2471</f>
        <v>2471</v>
      </c>
      <c r="H42" s="351"/>
      <c r="I42" s="356">
        <v>3007</v>
      </c>
      <c r="J42" s="238">
        <f t="shared" si="0"/>
        <v>1.216916228247673</v>
      </c>
      <c r="K42" s="238">
        <f>I42/I5</f>
        <v>0.22160837774295458</v>
      </c>
    </row>
    <row r="43" spans="1:10" ht="12.75">
      <c r="A43" s="349"/>
      <c r="B43" s="110"/>
      <c r="C43" s="361"/>
      <c r="D43" s="110"/>
      <c r="E43" s="110"/>
      <c r="F43" s="362" t="s">
        <v>30</v>
      </c>
      <c r="G43" s="356">
        <f>171-6</f>
        <v>165</v>
      </c>
      <c r="H43" s="351"/>
      <c r="I43" s="356">
        <f>157-12</f>
        <v>145</v>
      </c>
      <c r="J43" s="238">
        <f t="shared" si="0"/>
        <v>0.8787878787878788</v>
      </c>
    </row>
    <row r="44" spans="1:10" ht="12.75">
      <c r="A44" s="349"/>
      <c r="B44" s="110"/>
      <c r="C44" s="110"/>
      <c r="D44" s="110"/>
      <c r="E44" s="110"/>
      <c r="F44" s="110" t="s">
        <v>444</v>
      </c>
      <c r="G44" s="356">
        <v>1902</v>
      </c>
      <c r="H44" s="358" t="e">
        <f>#REF!</f>
        <v>#REF!</v>
      </c>
      <c r="I44" s="356">
        <f>1159-285</f>
        <v>874</v>
      </c>
      <c r="J44" s="238">
        <f t="shared" si="0"/>
        <v>0.45951629863301785</v>
      </c>
    </row>
    <row r="45" spans="1:9" ht="12.75">
      <c r="A45" s="349"/>
      <c r="B45" s="110"/>
      <c r="C45" s="110"/>
      <c r="D45" s="110" t="s">
        <v>455</v>
      </c>
      <c r="E45" s="110"/>
      <c r="F45" s="110"/>
      <c r="G45" s="360">
        <f>SUM(G46)</f>
        <v>159</v>
      </c>
      <c r="H45" s="358"/>
      <c r="I45" s="360">
        <f>SUM(I46)</f>
        <v>140</v>
      </c>
    </row>
    <row r="46" spans="1:9" ht="12.75">
      <c r="A46" s="349"/>
      <c r="B46" s="110"/>
      <c r="C46" s="361"/>
      <c r="D46" s="110"/>
      <c r="E46" s="110"/>
      <c r="F46" s="110" t="s">
        <v>31</v>
      </c>
      <c r="G46" s="356">
        <f>159</f>
        <v>159</v>
      </c>
      <c r="H46" s="351"/>
      <c r="I46" s="356">
        <f>159-19</f>
        <v>140</v>
      </c>
    </row>
    <row r="47" spans="1:9" ht="12.75">
      <c r="A47" s="349"/>
      <c r="B47" s="110"/>
      <c r="C47" s="110"/>
      <c r="D47" s="110" t="s">
        <v>36</v>
      </c>
      <c r="E47" s="110"/>
      <c r="F47" s="110"/>
      <c r="G47" s="360">
        <f>SUM(G48:G51)</f>
        <v>0</v>
      </c>
      <c r="H47" s="358" t="e">
        <f>SUM(#REF!)</f>
        <v>#REF!</v>
      </c>
      <c r="I47" s="360">
        <f>SUM(I48:I51)</f>
        <v>0</v>
      </c>
    </row>
    <row r="48" spans="1:9" ht="12.75">
      <c r="A48" s="349"/>
      <c r="B48" s="110"/>
      <c r="C48" s="110"/>
      <c r="D48" s="110"/>
      <c r="E48" s="110" t="s">
        <v>33</v>
      </c>
      <c r="F48" s="110"/>
      <c r="G48" s="356">
        <f>500-500</f>
        <v>0</v>
      </c>
      <c r="H48" s="351"/>
      <c r="I48" s="356"/>
    </row>
    <row r="49" spans="1:9" ht="12.75">
      <c r="A49" s="349"/>
      <c r="B49" s="110"/>
      <c r="C49" s="110"/>
      <c r="D49" s="110"/>
      <c r="E49" s="110" t="s">
        <v>34</v>
      </c>
      <c r="F49" s="110"/>
      <c r="G49" s="356">
        <f>126-126</f>
        <v>0</v>
      </c>
      <c r="H49" s="351"/>
      <c r="I49" s="356"/>
    </row>
    <row r="50" spans="1:9" ht="12" customHeight="1">
      <c r="A50" s="349"/>
      <c r="B50" s="110"/>
      <c r="C50" s="110"/>
      <c r="D50" s="110"/>
      <c r="E50" s="110" t="s">
        <v>35</v>
      </c>
      <c r="F50" s="110"/>
      <c r="G50" s="356">
        <f>150-150</f>
        <v>0</v>
      </c>
      <c r="H50" s="351"/>
      <c r="I50" s="356"/>
    </row>
    <row r="51" spans="1:9" ht="12.75">
      <c r="A51" s="365"/>
      <c r="B51" s="110"/>
      <c r="C51" s="110"/>
      <c r="D51" s="110"/>
      <c r="E51" s="110" t="s">
        <v>32</v>
      </c>
      <c r="F51" s="110"/>
      <c r="G51" s="356">
        <f>416-416</f>
        <v>0</v>
      </c>
      <c r="H51" s="351"/>
      <c r="I51" s="356"/>
    </row>
    <row r="52" spans="1:10" ht="13.5" thickBot="1">
      <c r="A52" s="365" t="s">
        <v>730</v>
      </c>
      <c r="B52" s="110"/>
      <c r="C52" s="110" t="s">
        <v>37</v>
      </c>
      <c r="D52" s="110"/>
      <c r="E52" s="110"/>
      <c r="F52" s="110"/>
      <c r="G52" s="386">
        <v>28</v>
      </c>
      <c r="H52" s="387"/>
      <c r="I52" s="386">
        <v>30</v>
      </c>
      <c r="J52" s="238">
        <f>I52/G52</f>
        <v>1.0714285714285714</v>
      </c>
    </row>
    <row r="53" spans="1:11" s="129" customFormat="1" ht="13.5" thickBot="1">
      <c r="A53" s="346">
        <v>38</v>
      </c>
      <c r="B53" s="108" t="s">
        <v>38</v>
      </c>
      <c r="C53" s="108"/>
      <c r="D53" s="109"/>
      <c r="E53" s="108"/>
      <c r="F53" s="108"/>
      <c r="G53" s="347">
        <f>G54+G55+G60</f>
        <v>298.5</v>
      </c>
      <c r="H53" s="347">
        <f>H54+H55+H60</f>
        <v>0</v>
      </c>
      <c r="I53" s="347">
        <f>I54+I55+I60</f>
        <v>517.04668</v>
      </c>
      <c r="J53" s="243">
        <f>I53/G53</f>
        <v>1.7321496817420436</v>
      </c>
      <c r="K53" s="243">
        <f>I53/I5</f>
        <v>0.03810504688133707</v>
      </c>
    </row>
    <row r="54" spans="1:9" ht="13.5" thickBot="1">
      <c r="A54" s="349">
        <v>381</v>
      </c>
      <c r="B54" s="295"/>
      <c r="C54" s="110" t="s">
        <v>728</v>
      </c>
      <c r="D54" s="110"/>
      <c r="E54" s="110"/>
      <c r="F54" s="110"/>
      <c r="G54" s="350">
        <f>100+11.5</f>
        <v>111.5</v>
      </c>
      <c r="H54" s="351"/>
      <c r="I54" s="350">
        <v>120</v>
      </c>
    </row>
    <row r="55" spans="1:9" ht="13.5" thickBot="1">
      <c r="A55" s="352">
        <v>382</v>
      </c>
      <c r="B55" s="354"/>
      <c r="C55" s="295" t="s">
        <v>22</v>
      </c>
      <c r="D55" s="295"/>
      <c r="E55" s="295"/>
      <c r="F55" s="295"/>
      <c r="G55" s="353">
        <f>G56</f>
        <v>23</v>
      </c>
      <c r="H55" s="353">
        <f>H56</f>
        <v>0</v>
      </c>
      <c r="I55" s="353">
        <f>I56</f>
        <v>191.04668</v>
      </c>
    </row>
    <row r="56" spans="1:9" ht="12.75">
      <c r="A56" s="355">
        <v>3825</v>
      </c>
      <c r="B56" s="117"/>
      <c r="C56" s="117" t="s">
        <v>729</v>
      </c>
      <c r="D56" s="124"/>
      <c r="E56" s="117"/>
      <c r="F56" s="117"/>
      <c r="G56" s="356">
        <f>SUM(G57:G59)</f>
        <v>23</v>
      </c>
      <c r="H56" s="356">
        <f>SUM(H57:H59)</f>
        <v>0</v>
      </c>
      <c r="I56" s="356">
        <f>SUM(I57:I59)</f>
        <v>191.04668</v>
      </c>
    </row>
    <row r="57" spans="1:9" ht="12.75">
      <c r="A57" s="349"/>
      <c r="B57" s="110"/>
      <c r="C57" s="110"/>
      <c r="D57" s="127" t="s">
        <v>577</v>
      </c>
      <c r="E57" s="110"/>
      <c r="F57" s="110"/>
      <c r="G57" s="356"/>
      <c r="H57" s="358"/>
      <c r="I57" s="356">
        <f>80-0.26621+0.43129+3+87.9-0.0184</f>
        <v>171.04668</v>
      </c>
    </row>
    <row r="58" spans="1:9" ht="12.75">
      <c r="A58" s="349"/>
      <c r="B58" s="110"/>
      <c r="C58" s="110"/>
      <c r="D58" s="127" t="s">
        <v>23</v>
      </c>
      <c r="E58" s="110"/>
      <c r="F58" s="110"/>
      <c r="G58" s="386">
        <v>20</v>
      </c>
      <c r="H58" s="351"/>
      <c r="I58" s="386">
        <v>20</v>
      </c>
    </row>
    <row r="59" spans="1:9" ht="12.75">
      <c r="A59" s="349"/>
      <c r="B59" s="110"/>
      <c r="C59" s="110"/>
      <c r="D59" s="110" t="s">
        <v>24</v>
      </c>
      <c r="E59" s="110"/>
      <c r="F59" s="110"/>
      <c r="G59" s="356">
        <v>3</v>
      </c>
      <c r="H59" s="113"/>
      <c r="I59" s="356">
        <f>3-3</f>
        <v>0</v>
      </c>
    </row>
    <row r="60" spans="1:10" s="129" customFormat="1" ht="13.5" thickBot="1">
      <c r="A60" s="382">
        <v>388</v>
      </c>
      <c r="B60" s="233" t="s">
        <v>38</v>
      </c>
      <c r="C60" s="233"/>
      <c r="D60" s="233"/>
      <c r="E60" s="233"/>
      <c r="F60" s="233"/>
      <c r="G60" s="383">
        <f>SUM(G61:G61)</f>
        <v>164</v>
      </c>
      <c r="H60" s="388">
        <f>SUM(H61:H61)</f>
        <v>0</v>
      </c>
      <c r="I60" s="383">
        <f>SUM(I61:I61)</f>
        <v>206</v>
      </c>
      <c r="J60" s="243">
        <f>I60/G60</f>
        <v>1.2560975609756098</v>
      </c>
    </row>
    <row r="61" spans="1:10" ht="13.5" customHeight="1">
      <c r="A61" s="349">
        <v>3888</v>
      </c>
      <c r="B61" s="110"/>
      <c r="C61" s="110" t="s">
        <v>39</v>
      </c>
      <c r="D61" s="127"/>
      <c r="E61" s="110"/>
      <c r="F61" s="110"/>
      <c r="G61" s="386">
        <f>64.5+11+34.5+20+30+4</f>
        <v>164</v>
      </c>
      <c r="H61" s="351"/>
      <c r="I61" s="386">
        <f>75.5+130.5</f>
        <v>206</v>
      </c>
      <c r="J61" s="238">
        <f>I61/G61</f>
        <v>1.2560975609756098</v>
      </c>
    </row>
    <row r="62" spans="1:9" ht="12.75">
      <c r="A62" s="128"/>
      <c r="B62" s="128"/>
      <c r="C62" s="128"/>
      <c r="D62" s="128"/>
      <c r="E62" s="128"/>
      <c r="F62" s="128"/>
      <c r="G62" s="128"/>
      <c r="H62" s="128"/>
      <c r="I62" s="128"/>
    </row>
    <row r="63" ht="13.5">
      <c r="I63" s="643"/>
    </row>
    <row r="66" ht="12.75">
      <c r="I66" s="332">
        <f>I5-kulud!J4</f>
        <v>0</v>
      </c>
    </row>
  </sheetData>
  <printOptions/>
  <pageMargins left="0.35433070866141736" right="0.35433070866141736" top="0.5905511811023623" bottom="0.1968503937007874" header="0.5118110236220472" footer="0.5118110236220472"/>
  <pageSetup horizontalDpi="300" verticalDpi="300" orientation="portrait" paperSize="9" scale="95" r:id="rId1"/>
  <headerFooter alignWithMargins="0">
    <oddHeader>&amp;R&amp;D  &amp;T &amp;F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C114"/>
  <sheetViews>
    <sheetView workbookViewId="0" topLeftCell="A98">
      <selection activeCell="A98" sqref="A1:IV16384"/>
    </sheetView>
  </sheetViews>
  <sheetFormatPr defaultColWidth="9.140625" defaultRowHeight="12.75"/>
  <cols>
    <col min="1" max="1" width="8.421875" style="0" customWidth="1"/>
    <col min="2" max="2" width="33.00390625" style="0" customWidth="1"/>
    <col min="3" max="3" width="26.57421875" style="0" customWidth="1"/>
    <col min="4" max="4" width="8.140625" style="0" customWidth="1"/>
    <col min="5" max="5" width="8.8515625" style="0" customWidth="1"/>
    <col min="6" max="6" width="9.28125" style="0" customWidth="1"/>
  </cols>
  <sheetData>
    <row r="3" spans="2:3" s="40" customFormat="1" ht="15.75">
      <c r="B3" s="40" t="s">
        <v>273</v>
      </c>
      <c r="C3" s="40" t="s">
        <v>274</v>
      </c>
    </row>
    <row r="5" spans="1:3" ht="12.75">
      <c r="A5" s="17">
        <v>401</v>
      </c>
      <c r="B5" s="7" t="s">
        <v>94</v>
      </c>
      <c r="C5" s="7"/>
    </row>
    <row r="6" spans="1:3" ht="12.75">
      <c r="A6" s="8" t="s">
        <v>101</v>
      </c>
      <c r="B6" s="3" t="s">
        <v>66</v>
      </c>
      <c r="C6" s="7" t="s">
        <v>275</v>
      </c>
    </row>
    <row r="7" spans="1:3" ht="12.75">
      <c r="A7" s="8" t="s">
        <v>102</v>
      </c>
      <c r="B7" s="3" t="s">
        <v>67</v>
      </c>
      <c r="C7" s="7" t="s">
        <v>276</v>
      </c>
    </row>
    <row r="8" spans="1:3" ht="12.75">
      <c r="A8" s="8" t="s">
        <v>103</v>
      </c>
      <c r="B8" s="3" t="s">
        <v>104</v>
      </c>
      <c r="C8" s="7" t="s">
        <v>277</v>
      </c>
    </row>
    <row r="9" spans="1:3" ht="14.25" customHeight="1">
      <c r="A9" s="8" t="s">
        <v>255</v>
      </c>
      <c r="B9" s="3" t="s">
        <v>65</v>
      </c>
      <c r="C9" s="2">
        <v>283</v>
      </c>
    </row>
    <row r="10" spans="1:3" ht="12.75">
      <c r="A10" s="8" t="s">
        <v>105</v>
      </c>
      <c r="B10" s="3" t="s">
        <v>106</v>
      </c>
      <c r="C10" s="7" t="s">
        <v>278</v>
      </c>
    </row>
    <row r="11" spans="1:3" ht="12.75">
      <c r="A11" s="8" t="s">
        <v>107</v>
      </c>
      <c r="B11" s="3" t="s">
        <v>108</v>
      </c>
      <c r="C11" s="7" t="s">
        <v>279</v>
      </c>
    </row>
    <row r="12" spans="1:3" ht="12.75">
      <c r="A12" s="8" t="s">
        <v>109</v>
      </c>
      <c r="B12" s="3" t="s">
        <v>110</v>
      </c>
      <c r="C12" s="7" t="s">
        <v>280</v>
      </c>
    </row>
    <row r="13" spans="1:3" ht="12.75">
      <c r="A13" s="8" t="s">
        <v>111</v>
      </c>
      <c r="B13" s="3" t="s">
        <v>112</v>
      </c>
      <c r="C13" s="7" t="s">
        <v>281</v>
      </c>
    </row>
    <row r="14" spans="1:3" ht="12.75">
      <c r="A14" s="17">
        <v>402</v>
      </c>
      <c r="B14" s="7" t="s">
        <v>68</v>
      </c>
      <c r="C14" s="7" t="s">
        <v>282</v>
      </c>
    </row>
    <row r="15" spans="1:3" ht="12.75">
      <c r="A15" s="17">
        <v>403</v>
      </c>
      <c r="B15" s="7" t="s">
        <v>69</v>
      </c>
      <c r="C15" s="7"/>
    </row>
    <row r="16" spans="1:3" ht="12.75">
      <c r="A16" s="8" t="s">
        <v>113</v>
      </c>
      <c r="B16" s="3" t="s">
        <v>114</v>
      </c>
      <c r="C16" s="7" t="s">
        <v>283</v>
      </c>
    </row>
    <row r="17" spans="1:3" ht="12.75">
      <c r="A17" s="8" t="s">
        <v>115</v>
      </c>
      <c r="B17" s="3" t="s">
        <v>116</v>
      </c>
      <c r="C17" s="7" t="s">
        <v>284</v>
      </c>
    </row>
    <row r="18" spans="1:3" ht="12.75">
      <c r="A18" s="8"/>
      <c r="B18" s="3" t="s">
        <v>117</v>
      </c>
      <c r="C18" s="7" t="s">
        <v>285</v>
      </c>
    </row>
    <row r="19" spans="1:3" ht="12.75">
      <c r="A19" s="17">
        <v>404</v>
      </c>
      <c r="B19" s="7" t="s">
        <v>95</v>
      </c>
      <c r="C19" s="7"/>
    </row>
    <row r="20" spans="1:3" ht="12.75">
      <c r="A20" s="8" t="s">
        <v>256</v>
      </c>
      <c r="B20" s="3" t="s">
        <v>258</v>
      </c>
      <c r="C20" s="7" t="s">
        <v>286</v>
      </c>
    </row>
    <row r="21" spans="1:3" ht="12.75">
      <c r="A21" s="8" t="s">
        <v>257</v>
      </c>
      <c r="B21" s="3" t="s">
        <v>259</v>
      </c>
      <c r="C21" s="7" t="s">
        <v>287</v>
      </c>
    </row>
    <row r="22" spans="1:3" ht="12.75">
      <c r="A22" s="8" t="s">
        <v>118</v>
      </c>
      <c r="B22" s="3" t="s">
        <v>119</v>
      </c>
      <c r="C22" s="7" t="s">
        <v>288</v>
      </c>
    </row>
    <row r="23" spans="1:3" ht="12.75">
      <c r="A23" s="8" t="s">
        <v>120</v>
      </c>
      <c r="B23" s="3" t="s">
        <v>121</v>
      </c>
      <c r="C23" s="7" t="s">
        <v>289</v>
      </c>
    </row>
    <row r="24" spans="1:3" ht="12.75">
      <c r="A24" s="8" t="s">
        <v>122</v>
      </c>
      <c r="B24" s="3" t="s">
        <v>123</v>
      </c>
      <c r="C24" s="7" t="s">
        <v>290</v>
      </c>
    </row>
    <row r="25" spans="1:3" ht="12.75">
      <c r="A25" s="8" t="s">
        <v>124</v>
      </c>
      <c r="B25" s="3" t="s">
        <v>267</v>
      </c>
      <c r="C25" s="7" t="s">
        <v>291</v>
      </c>
    </row>
    <row r="26" spans="1:3" ht="12.75">
      <c r="A26" s="8" t="s">
        <v>125</v>
      </c>
      <c r="B26" s="3" t="s">
        <v>70</v>
      </c>
      <c r="C26" s="41" t="s">
        <v>292</v>
      </c>
    </row>
    <row r="27" spans="1:3" ht="12.75">
      <c r="A27" s="8" t="s">
        <v>126</v>
      </c>
      <c r="B27" s="3" t="s">
        <v>127</v>
      </c>
      <c r="C27" s="7" t="s">
        <v>293</v>
      </c>
    </row>
    <row r="28" spans="1:3" ht="12.75">
      <c r="A28" s="8" t="s">
        <v>128</v>
      </c>
      <c r="B28" s="3" t="s">
        <v>129</v>
      </c>
      <c r="C28" s="7" t="s">
        <v>294</v>
      </c>
    </row>
    <row r="29" spans="1:3" ht="12.75">
      <c r="A29" s="8" t="s">
        <v>130</v>
      </c>
      <c r="B29" s="3" t="s">
        <v>131</v>
      </c>
      <c r="C29" s="7" t="s">
        <v>295</v>
      </c>
    </row>
    <row r="30" spans="1:3" ht="12.75">
      <c r="A30" s="8" t="s">
        <v>132</v>
      </c>
      <c r="B30" s="3" t="s">
        <v>133</v>
      </c>
      <c r="C30" s="7" t="s">
        <v>296</v>
      </c>
    </row>
    <row r="31" spans="1:3" ht="12.75">
      <c r="A31" s="8" t="s">
        <v>134</v>
      </c>
      <c r="B31" s="3" t="s">
        <v>135</v>
      </c>
      <c r="C31" s="7" t="s">
        <v>297</v>
      </c>
    </row>
    <row r="32" spans="1:3" ht="12.75">
      <c r="A32" s="8" t="s">
        <v>136</v>
      </c>
      <c r="B32" s="3" t="s">
        <v>137</v>
      </c>
      <c r="C32" s="7" t="s">
        <v>298</v>
      </c>
    </row>
    <row r="33" spans="1:3" ht="12.75">
      <c r="A33" s="8" t="s">
        <v>138</v>
      </c>
      <c r="B33" s="3" t="s">
        <v>139</v>
      </c>
      <c r="C33" s="7" t="s">
        <v>299</v>
      </c>
    </row>
    <row r="34" spans="1:3" ht="12.75">
      <c r="A34" s="8" t="s">
        <v>140</v>
      </c>
      <c r="B34" s="3" t="s">
        <v>141</v>
      </c>
      <c r="C34" s="7" t="s">
        <v>300</v>
      </c>
    </row>
    <row r="35" spans="1:3" ht="12.75">
      <c r="A35" s="8" t="s">
        <v>142</v>
      </c>
      <c r="B35" s="3" t="s">
        <v>143</v>
      </c>
      <c r="C35" s="7" t="s">
        <v>301</v>
      </c>
    </row>
    <row r="36" spans="1:3" ht="12.75">
      <c r="A36" s="8"/>
      <c r="B36" s="3" t="s">
        <v>302</v>
      </c>
      <c r="C36" s="7" t="s">
        <v>303</v>
      </c>
    </row>
    <row r="37" spans="1:3" ht="12.75">
      <c r="A37" s="17">
        <v>405</v>
      </c>
      <c r="B37" s="7" t="s">
        <v>71</v>
      </c>
      <c r="C37" s="7"/>
    </row>
    <row r="38" spans="1:3" ht="12.75">
      <c r="A38" s="8" t="s">
        <v>244</v>
      </c>
      <c r="B38" s="3" t="s">
        <v>245</v>
      </c>
      <c r="C38" s="7" t="s">
        <v>304</v>
      </c>
    </row>
    <row r="39" spans="1:3" ht="12.75">
      <c r="A39" s="8" t="s">
        <v>144</v>
      </c>
      <c r="B39" s="3" t="s">
        <v>145</v>
      </c>
      <c r="C39" s="7" t="s">
        <v>290</v>
      </c>
    </row>
    <row r="40" spans="1:3" ht="12.75">
      <c r="A40" s="8" t="s">
        <v>249</v>
      </c>
      <c r="B40" s="3" t="s">
        <v>250</v>
      </c>
      <c r="C40" s="7" t="s">
        <v>305</v>
      </c>
    </row>
    <row r="41" spans="1:3" ht="12.75">
      <c r="A41" s="8" t="s">
        <v>246</v>
      </c>
      <c r="B41" s="3" t="s">
        <v>247</v>
      </c>
      <c r="C41" s="7" t="s">
        <v>306</v>
      </c>
    </row>
    <row r="42" spans="1:3" ht="12.75">
      <c r="A42" s="8"/>
      <c r="B42" s="3" t="s">
        <v>146</v>
      </c>
      <c r="C42" s="7" t="s">
        <v>307</v>
      </c>
    </row>
    <row r="43" spans="1:3" ht="12.75">
      <c r="A43" s="17">
        <v>406</v>
      </c>
      <c r="B43" s="7" t="s">
        <v>72</v>
      </c>
      <c r="C43" s="7"/>
    </row>
    <row r="44" spans="1:3" ht="12.75">
      <c r="A44" s="8" t="s">
        <v>260</v>
      </c>
      <c r="B44" s="3" t="s">
        <v>261</v>
      </c>
      <c r="C44" s="7" t="s">
        <v>308</v>
      </c>
    </row>
    <row r="45" spans="1:3" ht="12.75">
      <c r="A45" s="8" t="s">
        <v>262</v>
      </c>
      <c r="B45" s="3" t="s">
        <v>263</v>
      </c>
      <c r="C45" s="7" t="s">
        <v>309</v>
      </c>
    </row>
    <row r="46" spans="1:3" ht="12.75">
      <c r="A46" s="8" t="s">
        <v>147</v>
      </c>
      <c r="B46" s="3" t="s">
        <v>148</v>
      </c>
      <c r="C46" s="7" t="s">
        <v>310</v>
      </c>
    </row>
    <row r="47" spans="1:3" ht="12.75">
      <c r="A47" s="8" t="s">
        <v>149</v>
      </c>
      <c r="B47" s="3" t="s">
        <v>150</v>
      </c>
      <c r="C47" s="7" t="s">
        <v>311</v>
      </c>
    </row>
    <row r="48" spans="1:3" ht="12.75">
      <c r="A48" s="8" t="s">
        <v>151</v>
      </c>
      <c r="B48" s="3" t="s">
        <v>152</v>
      </c>
      <c r="C48" s="7" t="s">
        <v>301</v>
      </c>
    </row>
    <row r="49" spans="1:3" ht="12.75">
      <c r="A49" s="8" t="s">
        <v>153</v>
      </c>
      <c r="B49" s="3" t="s">
        <v>248</v>
      </c>
      <c r="C49" s="7" t="s">
        <v>312</v>
      </c>
    </row>
    <row r="50" spans="1:3" ht="12.75">
      <c r="A50" s="8"/>
      <c r="B50" s="3" t="s">
        <v>313</v>
      </c>
      <c r="C50" s="7"/>
    </row>
    <row r="51" spans="1:3" ht="12.75">
      <c r="A51" s="17">
        <v>407</v>
      </c>
      <c r="B51" s="7" t="s">
        <v>73</v>
      </c>
      <c r="C51" s="7"/>
    </row>
    <row r="52" spans="1:3" ht="12.75">
      <c r="A52" s="8" t="s">
        <v>154</v>
      </c>
      <c r="B52" s="3" t="s">
        <v>155</v>
      </c>
      <c r="C52" s="7" t="s">
        <v>314</v>
      </c>
    </row>
    <row r="53" spans="1:3" ht="12.75">
      <c r="A53" s="8" t="s">
        <v>156</v>
      </c>
      <c r="B53" s="3" t="s">
        <v>157</v>
      </c>
      <c r="C53" s="7" t="s">
        <v>315</v>
      </c>
    </row>
    <row r="54" spans="1:3" ht="12.75">
      <c r="A54" s="8" t="s">
        <v>158</v>
      </c>
      <c r="B54" s="3" t="s">
        <v>159</v>
      </c>
      <c r="C54" s="7" t="s">
        <v>316</v>
      </c>
    </row>
    <row r="55" spans="1:3" ht="12.75">
      <c r="A55" s="8" t="s">
        <v>160</v>
      </c>
      <c r="B55" s="3" t="s">
        <v>161</v>
      </c>
      <c r="C55" s="7" t="s">
        <v>317</v>
      </c>
    </row>
    <row r="56" spans="1:3" ht="12.75">
      <c r="A56" s="8" t="s">
        <v>162</v>
      </c>
      <c r="B56" s="3" t="s">
        <v>163</v>
      </c>
      <c r="C56" s="7" t="s">
        <v>318</v>
      </c>
    </row>
    <row r="57" spans="1:3" ht="12.75">
      <c r="A57" s="8" t="s">
        <v>164</v>
      </c>
      <c r="B57" s="3" t="s">
        <v>165</v>
      </c>
      <c r="C57" s="7" t="s">
        <v>319</v>
      </c>
    </row>
    <row r="58" spans="1:3" ht="12.75">
      <c r="A58" s="8"/>
      <c r="B58" s="3" t="s">
        <v>251</v>
      </c>
      <c r="C58" s="7" t="s">
        <v>320</v>
      </c>
    </row>
    <row r="59" spans="1:3" ht="12.75">
      <c r="A59" s="17" t="s">
        <v>74</v>
      </c>
      <c r="B59" s="7" t="s">
        <v>100</v>
      </c>
      <c r="C59" s="7"/>
    </row>
    <row r="60" spans="1:3" ht="12.75">
      <c r="A60" s="8" t="s">
        <v>166</v>
      </c>
      <c r="B60" s="3" t="s">
        <v>167</v>
      </c>
      <c r="C60" s="7" t="s">
        <v>321</v>
      </c>
    </row>
    <row r="61" spans="1:3" ht="12.75">
      <c r="A61" s="8" t="s">
        <v>168</v>
      </c>
      <c r="B61" s="3" t="s">
        <v>169</v>
      </c>
      <c r="C61" s="7" t="s">
        <v>322</v>
      </c>
    </row>
    <row r="62" spans="1:3" ht="12.75">
      <c r="A62" s="8" t="s">
        <v>170</v>
      </c>
      <c r="B62" s="3" t="s">
        <v>171</v>
      </c>
      <c r="C62" s="7" t="s">
        <v>323</v>
      </c>
    </row>
    <row r="63" spans="1:3" ht="12.75">
      <c r="A63" s="8" t="s">
        <v>75</v>
      </c>
      <c r="B63" s="3" t="s">
        <v>172</v>
      </c>
      <c r="C63" s="7" t="s">
        <v>324</v>
      </c>
    </row>
    <row r="64" spans="1:3" ht="12.75">
      <c r="A64" s="8" t="s">
        <v>77</v>
      </c>
      <c r="B64" s="3" t="s">
        <v>76</v>
      </c>
      <c r="C64" s="7" t="s">
        <v>325</v>
      </c>
    </row>
    <row r="65" spans="1:3" ht="12.75">
      <c r="A65" s="8" t="s">
        <v>173</v>
      </c>
      <c r="B65" s="3" t="s">
        <v>174</v>
      </c>
      <c r="C65" s="7" t="s">
        <v>326</v>
      </c>
    </row>
    <row r="66" spans="1:3" ht="12.75">
      <c r="A66" s="8" t="s">
        <v>175</v>
      </c>
      <c r="B66" s="3" t="s">
        <v>176</v>
      </c>
      <c r="C66" s="7" t="s">
        <v>327</v>
      </c>
    </row>
    <row r="67" spans="1:3" ht="12.75">
      <c r="A67" s="8" t="s">
        <v>177</v>
      </c>
      <c r="B67" s="3" t="s">
        <v>178</v>
      </c>
      <c r="C67" s="7" t="s">
        <v>328</v>
      </c>
    </row>
    <row r="68" spans="1:3" ht="12.75">
      <c r="A68" s="8" t="s">
        <v>78</v>
      </c>
      <c r="B68" s="3" t="s">
        <v>79</v>
      </c>
      <c r="C68" s="7" t="s">
        <v>329</v>
      </c>
    </row>
    <row r="69" spans="1:3" ht="12.75">
      <c r="A69" s="8" t="s">
        <v>80</v>
      </c>
      <c r="B69" s="3" t="s">
        <v>93</v>
      </c>
      <c r="C69" s="7" t="s">
        <v>330</v>
      </c>
    </row>
    <row r="70" spans="1:3" ht="12.75">
      <c r="A70" s="8" t="s">
        <v>179</v>
      </c>
      <c r="B70" s="3" t="s">
        <v>180</v>
      </c>
      <c r="C70" s="7" t="s">
        <v>331</v>
      </c>
    </row>
    <row r="71" spans="1:3" ht="12.75" hidden="1">
      <c r="A71" s="8" t="s">
        <v>181</v>
      </c>
      <c r="B71" s="3" t="s">
        <v>182</v>
      </c>
      <c r="C71" s="7" t="s">
        <v>332</v>
      </c>
    </row>
    <row r="72" spans="1:3" ht="12.75" hidden="1">
      <c r="A72" s="8" t="s">
        <v>183</v>
      </c>
      <c r="B72" s="3" t="s">
        <v>184</v>
      </c>
      <c r="C72" s="7" t="s">
        <v>333</v>
      </c>
    </row>
    <row r="73" spans="1:3" ht="12.75">
      <c r="A73" s="8" t="s">
        <v>185</v>
      </c>
      <c r="B73" s="3" t="s">
        <v>186</v>
      </c>
      <c r="C73" s="7" t="s">
        <v>334</v>
      </c>
    </row>
    <row r="74" spans="1:3" ht="12.75">
      <c r="A74" s="8" t="s">
        <v>187</v>
      </c>
      <c r="B74" s="3" t="s">
        <v>188</v>
      </c>
      <c r="C74" s="7" t="s">
        <v>335</v>
      </c>
    </row>
    <row r="75" spans="1:3" ht="12.75" hidden="1">
      <c r="A75" s="8" t="s">
        <v>189</v>
      </c>
      <c r="B75" s="3" t="s">
        <v>190</v>
      </c>
      <c r="C75" s="7" t="s">
        <v>336</v>
      </c>
    </row>
    <row r="76" spans="1:3" ht="12.75" hidden="1">
      <c r="A76" s="8" t="s">
        <v>191</v>
      </c>
      <c r="B76" s="3" t="s">
        <v>192</v>
      </c>
      <c r="C76" s="7" t="s">
        <v>337</v>
      </c>
    </row>
    <row r="77" spans="1:3" ht="12.75">
      <c r="A77" s="8" t="s">
        <v>193</v>
      </c>
      <c r="B77" s="3" t="s">
        <v>194</v>
      </c>
      <c r="C77" s="7" t="s">
        <v>338</v>
      </c>
    </row>
    <row r="78" spans="1:3" ht="12.75">
      <c r="A78" s="8" t="s">
        <v>195</v>
      </c>
      <c r="B78" s="3" t="s">
        <v>196</v>
      </c>
      <c r="C78" s="7" t="s">
        <v>339</v>
      </c>
    </row>
    <row r="79" spans="1:3" ht="12.75">
      <c r="A79" s="8" t="s">
        <v>197</v>
      </c>
      <c r="B79" s="3" t="s">
        <v>198</v>
      </c>
      <c r="C79" s="7" t="s">
        <v>340</v>
      </c>
    </row>
    <row r="80" spans="1:3" ht="12.75">
      <c r="A80" s="8" t="s">
        <v>199</v>
      </c>
      <c r="B80" s="3" t="s">
        <v>200</v>
      </c>
      <c r="C80" s="7" t="s">
        <v>341</v>
      </c>
    </row>
    <row r="81" spans="1:3" ht="12.75">
      <c r="A81" s="8" t="s">
        <v>201</v>
      </c>
      <c r="B81" s="3" t="s">
        <v>202</v>
      </c>
      <c r="C81" s="7" t="s">
        <v>342</v>
      </c>
    </row>
    <row r="82" spans="1:3" ht="12.75">
      <c r="A82" s="8"/>
      <c r="B82" s="3" t="s">
        <v>252</v>
      </c>
      <c r="C82" s="7" t="s">
        <v>343</v>
      </c>
    </row>
    <row r="83" spans="1:3" ht="12.75">
      <c r="A83" s="17">
        <v>409</v>
      </c>
      <c r="B83" s="7" t="s">
        <v>98</v>
      </c>
      <c r="C83" s="18"/>
    </row>
    <row r="84" spans="1:3" ht="12.75">
      <c r="A84" s="8" t="s">
        <v>81</v>
      </c>
      <c r="B84" s="3" t="s">
        <v>82</v>
      </c>
      <c r="C84" s="7" t="s">
        <v>344</v>
      </c>
    </row>
    <row r="85" spans="1:3" ht="12.75">
      <c r="A85" s="8" t="s">
        <v>83</v>
      </c>
      <c r="B85" s="3" t="s">
        <v>84</v>
      </c>
      <c r="C85" s="7" t="s">
        <v>345</v>
      </c>
    </row>
    <row r="86" spans="1:3" ht="12.75">
      <c r="A86" s="8" t="s">
        <v>203</v>
      </c>
      <c r="B86" s="3" t="s">
        <v>204</v>
      </c>
      <c r="C86" s="7" t="s">
        <v>346</v>
      </c>
    </row>
    <row r="87" spans="1:3" ht="12.75">
      <c r="A87" s="8" t="s">
        <v>205</v>
      </c>
      <c r="B87" s="3" t="s">
        <v>206</v>
      </c>
      <c r="C87" s="7" t="s">
        <v>347</v>
      </c>
    </row>
    <row r="88" spans="1:3" ht="12.75">
      <c r="A88" s="8" t="s">
        <v>207</v>
      </c>
      <c r="B88" s="3" t="s">
        <v>208</v>
      </c>
      <c r="C88" s="7" t="s">
        <v>348</v>
      </c>
    </row>
    <row r="89" spans="1:3" ht="12.75">
      <c r="A89" s="8" t="s">
        <v>209</v>
      </c>
      <c r="B89" s="3" t="s">
        <v>210</v>
      </c>
      <c r="C89" s="7" t="s">
        <v>349</v>
      </c>
    </row>
    <row r="90" spans="1:3" ht="12.75">
      <c r="A90" s="8" t="s">
        <v>85</v>
      </c>
      <c r="B90" s="3" t="s">
        <v>86</v>
      </c>
      <c r="C90" s="7" t="s">
        <v>350</v>
      </c>
    </row>
    <row r="91" spans="1:3" ht="12.75">
      <c r="A91" s="8" t="s">
        <v>211</v>
      </c>
      <c r="B91" s="3" t="s">
        <v>212</v>
      </c>
      <c r="C91" s="7" t="s">
        <v>351</v>
      </c>
    </row>
    <row r="92" spans="1:3" ht="12.75">
      <c r="A92" s="8" t="s">
        <v>213</v>
      </c>
      <c r="B92" s="3" t="s">
        <v>214</v>
      </c>
      <c r="C92" s="7" t="s">
        <v>352</v>
      </c>
    </row>
    <row r="93" spans="1:3" ht="12.75">
      <c r="A93" s="8"/>
      <c r="B93" s="3" t="s">
        <v>253</v>
      </c>
      <c r="C93" s="7" t="s">
        <v>353</v>
      </c>
    </row>
    <row r="94" spans="1:3" ht="12.75">
      <c r="A94" s="17">
        <v>410</v>
      </c>
      <c r="B94" s="7" t="s">
        <v>99</v>
      </c>
      <c r="C94" s="7"/>
    </row>
    <row r="95" spans="1:3" ht="12.75">
      <c r="A95" s="8" t="s">
        <v>215</v>
      </c>
      <c r="B95" s="3" t="s">
        <v>216</v>
      </c>
      <c r="C95" s="7" t="s">
        <v>354</v>
      </c>
    </row>
    <row r="96" spans="1:3" ht="12.75">
      <c r="A96" s="8" t="s">
        <v>87</v>
      </c>
      <c r="B96" s="3" t="s">
        <v>88</v>
      </c>
      <c r="C96" s="7" t="s">
        <v>355</v>
      </c>
    </row>
    <row r="97" spans="1:3" ht="12.75">
      <c r="A97" s="8" t="s">
        <v>217</v>
      </c>
      <c r="B97" s="3" t="s">
        <v>240</v>
      </c>
      <c r="C97" s="7" t="s">
        <v>356</v>
      </c>
    </row>
    <row r="98" spans="1:3" ht="12.75">
      <c r="A98" s="8" t="s">
        <v>243</v>
      </c>
      <c r="B98" s="3" t="s">
        <v>218</v>
      </c>
      <c r="C98" s="7"/>
    </row>
    <row r="99" spans="1:3" ht="12.75">
      <c r="A99" s="8" t="s">
        <v>89</v>
      </c>
      <c r="B99" s="3" t="s">
        <v>90</v>
      </c>
      <c r="C99" s="7" t="s">
        <v>357</v>
      </c>
    </row>
    <row r="100" spans="1:3" ht="12.75">
      <c r="A100" s="8" t="s">
        <v>91</v>
      </c>
      <c r="B100" s="3" t="s">
        <v>92</v>
      </c>
      <c r="C100" s="7" t="s">
        <v>358</v>
      </c>
    </row>
    <row r="101" spans="1:3" ht="12.75">
      <c r="A101" s="8" t="s">
        <v>219</v>
      </c>
      <c r="B101" s="3" t="s">
        <v>264</v>
      </c>
      <c r="C101" s="7" t="s">
        <v>359</v>
      </c>
    </row>
    <row r="102" spans="1:3" ht="12.75">
      <c r="A102" s="8" t="s">
        <v>241</v>
      </c>
      <c r="B102" s="3" t="s">
        <v>220</v>
      </c>
      <c r="C102" s="7"/>
    </row>
    <row r="103" spans="1:3" ht="12.75" hidden="1">
      <c r="A103" s="8" t="s">
        <v>221</v>
      </c>
      <c r="B103" s="3" t="s">
        <v>222</v>
      </c>
      <c r="C103" s="7" t="s">
        <v>360</v>
      </c>
    </row>
    <row r="104" spans="1:3" ht="12.75">
      <c r="A104" s="8" t="s">
        <v>223</v>
      </c>
      <c r="B104" s="3" t="s">
        <v>224</v>
      </c>
      <c r="C104" s="7" t="s">
        <v>361</v>
      </c>
    </row>
    <row r="105" spans="1:3" ht="12.75">
      <c r="A105" s="8" t="s">
        <v>225</v>
      </c>
      <c r="B105" s="3" t="s">
        <v>230</v>
      </c>
      <c r="C105" s="7" t="s">
        <v>362</v>
      </c>
    </row>
    <row r="106" spans="1:3" ht="12.75">
      <c r="A106" s="8" t="s">
        <v>242</v>
      </c>
      <c r="B106" s="3" t="s">
        <v>265</v>
      </c>
      <c r="C106" s="2" t="s">
        <v>359</v>
      </c>
    </row>
    <row r="107" spans="1:3" ht="12.75">
      <c r="A107" s="8" t="s">
        <v>266</v>
      </c>
      <c r="B107" s="3" t="s">
        <v>226</v>
      </c>
      <c r="C107" s="7" t="s">
        <v>363</v>
      </c>
    </row>
    <row r="108" spans="1:3" ht="12.75">
      <c r="A108" s="8" t="s">
        <v>227</v>
      </c>
      <c r="B108" s="3" t="s">
        <v>228</v>
      </c>
      <c r="C108" s="7" t="s">
        <v>364</v>
      </c>
    </row>
    <row r="109" spans="1:3" ht="12.75">
      <c r="A109" s="8" t="s">
        <v>237</v>
      </c>
      <c r="B109" s="3" t="s">
        <v>238</v>
      </c>
      <c r="C109" s="7" t="s">
        <v>365</v>
      </c>
    </row>
    <row r="110" spans="1:3" ht="12.75">
      <c r="A110" s="8" t="s">
        <v>235</v>
      </c>
      <c r="B110" s="3" t="s">
        <v>229</v>
      </c>
      <c r="C110" s="7" t="s">
        <v>366</v>
      </c>
    </row>
    <row r="111" spans="1:3" ht="12.75">
      <c r="A111" s="8" t="s">
        <v>236</v>
      </c>
      <c r="B111" s="3" t="s">
        <v>239</v>
      </c>
      <c r="C111" s="7" t="s">
        <v>367</v>
      </c>
    </row>
    <row r="112" spans="1:3" ht="12.75">
      <c r="A112" s="8" t="s">
        <v>231</v>
      </c>
      <c r="B112" s="3" t="s">
        <v>232</v>
      </c>
      <c r="C112" s="7" t="s">
        <v>368</v>
      </c>
    </row>
    <row r="113" spans="1:3" ht="12.75">
      <c r="A113" s="8" t="s">
        <v>233</v>
      </c>
      <c r="B113" s="3" t="s">
        <v>234</v>
      </c>
      <c r="C113" s="7" t="s">
        <v>369</v>
      </c>
    </row>
    <row r="114" spans="1:3" ht="12.75">
      <c r="A114" s="8"/>
      <c r="B114" s="3" t="s">
        <v>254</v>
      </c>
      <c r="C114" s="7" t="s">
        <v>370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34">
      <selection activeCell="A34" sqref="A1:IV16384"/>
    </sheetView>
  </sheetViews>
  <sheetFormatPr defaultColWidth="9.140625" defaultRowHeight="12.75"/>
  <cols>
    <col min="1" max="1" width="18.140625" style="104" customWidth="1"/>
    <col min="2" max="2" width="6.57421875" style="104" customWidth="1"/>
    <col min="3" max="3" width="10.8515625" style="104" customWidth="1"/>
    <col min="4" max="4" width="5.57421875" style="104" bestFit="1" customWidth="1"/>
    <col min="5" max="5" width="11.28125" style="104" customWidth="1"/>
    <col min="6" max="6" width="2.140625" style="104" bestFit="1" customWidth="1"/>
    <col min="7" max="7" width="4.421875" style="104" bestFit="1" customWidth="1"/>
    <col min="8" max="8" width="5.57421875" style="104" bestFit="1" customWidth="1"/>
    <col min="9" max="9" width="9.7109375" style="104" customWidth="1"/>
    <col min="10" max="10" width="9.140625" style="104" customWidth="1"/>
    <col min="11" max="11" width="9.8515625" style="104" bestFit="1" customWidth="1"/>
    <col min="12" max="16384" width="9.140625" style="104" customWidth="1"/>
  </cols>
  <sheetData>
    <row r="1" s="103" customFormat="1" ht="15.75">
      <c r="A1" s="103" t="s">
        <v>495</v>
      </c>
    </row>
    <row r="2" spans="3:9" ht="15.75" customHeight="1">
      <c r="C2" s="104" t="s">
        <v>783</v>
      </c>
      <c r="I2" s="651" t="s">
        <v>450</v>
      </c>
    </row>
    <row r="3" spans="1:6" ht="15.75">
      <c r="A3" s="334" t="s">
        <v>385</v>
      </c>
      <c r="C3" s="104" t="s">
        <v>386</v>
      </c>
      <c r="D3" s="335" t="s">
        <v>387</v>
      </c>
      <c r="E3" s="104" t="s">
        <v>388</v>
      </c>
      <c r="F3" s="647"/>
    </row>
    <row r="4" spans="1:10" ht="15.75">
      <c r="A4" s="104" t="s">
        <v>389</v>
      </c>
      <c r="C4" s="104">
        <f>70+5</f>
        <v>75</v>
      </c>
      <c r="D4" s="104">
        <v>430</v>
      </c>
      <c r="E4" s="104">
        <f>9*D4*C4</f>
        <v>290250</v>
      </c>
      <c r="F4" s="647"/>
      <c r="G4" s="104">
        <v>66</v>
      </c>
      <c r="H4" s="104">
        <v>430</v>
      </c>
      <c r="I4" s="104">
        <f>9*G4*H4</f>
        <v>255420</v>
      </c>
      <c r="J4" s="104">
        <f>E4-I4</f>
        <v>34830</v>
      </c>
    </row>
    <row r="5" spans="1:10" ht="15.75">
      <c r="A5" s="104" t="s">
        <v>390</v>
      </c>
      <c r="C5" s="104">
        <f>7+1</f>
        <v>8</v>
      </c>
      <c r="D5" s="104">
        <v>1349</v>
      </c>
      <c r="E5" s="104">
        <f>C5*D5*12+1349*2</f>
        <v>132202</v>
      </c>
      <c r="F5" s="647"/>
      <c r="G5" s="104">
        <v>7</v>
      </c>
      <c r="H5" s="104">
        <v>1404</v>
      </c>
      <c r="I5" s="104">
        <f>12*G5*H5</f>
        <v>117936</v>
      </c>
      <c r="J5" s="104">
        <f>E5-I5</f>
        <v>14266</v>
      </c>
    </row>
    <row r="6" spans="6:10" ht="15.75">
      <c r="F6" s="647"/>
      <c r="G6" s="104">
        <v>3</v>
      </c>
      <c r="H6" s="104">
        <v>175</v>
      </c>
      <c r="I6" s="104">
        <f>H6*9*3</f>
        <v>4725</v>
      </c>
      <c r="J6" s="104">
        <f>E6-I6</f>
        <v>-4725</v>
      </c>
    </row>
    <row r="7" spans="1:10" ht="15.75">
      <c r="A7" s="104" t="s">
        <v>391</v>
      </c>
      <c r="C7" s="104">
        <f>13+1</f>
        <v>14</v>
      </c>
      <c r="D7" s="104">
        <v>1015</v>
      </c>
      <c r="E7" s="104">
        <f>C7*D7*9</f>
        <v>127890</v>
      </c>
      <c r="F7" s="647"/>
      <c r="G7" s="104">
        <v>13</v>
      </c>
      <c r="H7" s="104">
        <v>1048</v>
      </c>
      <c r="I7" s="104">
        <f>9*G7*H7</f>
        <v>122616</v>
      </c>
      <c r="J7" s="104">
        <f>E7-I7</f>
        <v>5274</v>
      </c>
    </row>
    <row r="8" spans="1:10" s="103" customFormat="1" ht="15.75">
      <c r="A8" s="103" t="s">
        <v>392</v>
      </c>
      <c r="E8" s="103">
        <f>SUM(E4:E7)</f>
        <v>550342</v>
      </c>
      <c r="F8" s="648"/>
      <c r="I8" s="103">
        <f>SUM(I4:I7)</f>
        <v>500697</v>
      </c>
      <c r="J8" s="103">
        <f>SUM(J4:J7)</f>
        <v>49645</v>
      </c>
    </row>
    <row r="9" ht="15.75">
      <c r="F9" s="647"/>
    </row>
    <row r="10" spans="1:6" ht="15.75">
      <c r="A10" s="334" t="s">
        <v>393</v>
      </c>
      <c r="F10" s="647"/>
    </row>
    <row r="11" spans="1:10" ht="15.75">
      <c r="A11" s="104" t="s">
        <v>394</v>
      </c>
      <c r="C11" s="104">
        <v>6</v>
      </c>
      <c r="D11" s="104">
        <v>430</v>
      </c>
      <c r="E11" s="104">
        <f>C11*D11*9</f>
        <v>23220</v>
      </c>
      <c r="F11" s="647"/>
      <c r="G11" s="104">
        <v>8</v>
      </c>
      <c r="H11" s="104">
        <v>430</v>
      </c>
      <c r="I11" s="104">
        <f>9*G11*H11</f>
        <v>30960</v>
      </c>
      <c r="J11" s="104">
        <f>E11-I11</f>
        <v>-7740</v>
      </c>
    </row>
    <row r="12" spans="1:10" ht="15.75">
      <c r="A12" s="104" t="s">
        <v>390</v>
      </c>
      <c r="C12" s="104">
        <v>0</v>
      </c>
      <c r="D12" s="104">
        <v>1409</v>
      </c>
      <c r="E12" s="103">
        <f>C12*D12*11</f>
        <v>0</v>
      </c>
      <c r="F12" s="648"/>
      <c r="G12" s="104">
        <v>1</v>
      </c>
      <c r="H12" s="104">
        <v>1872</v>
      </c>
      <c r="I12" s="104">
        <f>4*H12*G12</f>
        <v>7488</v>
      </c>
      <c r="J12" s="104">
        <f>E12-I12</f>
        <v>-7488</v>
      </c>
    </row>
    <row r="13" spans="1:10" ht="15.75">
      <c r="A13" s="104" t="s">
        <v>395</v>
      </c>
      <c r="C13" s="104">
        <v>2</v>
      </c>
      <c r="D13" s="104">
        <v>500</v>
      </c>
      <c r="E13" s="104">
        <f>C13*D13*9</f>
        <v>9000</v>
      </c>
      <c r="F13" s="647"/>
      <c r="G13" s="104">
        <f>1+1+2</f>
        <v>4</v>
      </c>
      <c r="H13" s="104">
        <v>570</v>
      </c>
      <c r="I13" s="104">
        <f>9*G13*H13</f>
        <v>20520</v>
      </c>
      <c r="J13" s="104">
        <f>E13-I13</f>
        <v>-11520</v>
      </c>
    </row>
    <row r="14" spans="6:10" ht="15.75">
      <c r="F14" s="647"/>
      <c r="G14" s="104">
        <v>14</v>
      </c>
      <c r="H14" s="104">
        <v>350</v>
      </c>
      <c r="I14" s="104">
        <f>4*G14*H14</f>
        <v>19600</v>
      </c>
      <c r="J14" s="104">
        <f>E14-I14</f>
        <v>-19600</v>
      </c>
    </row>
    <row r="15" spans="1:10" ht="15.75">
      <c r="A15" s="103" t="s">
        <v>392</v>
      </c>
      <c r="E15" s="103">
        <f>SUM(E11:E13)</f>
        <v>32220</v>
      </c>
      <c r="F15" s="648"/>
      <c r="G15" s="103"/>
      <c r="I15" s="103">
        <f>SUM(I11:I14)</f>
        <v>78568</v>
      </c>
      <c r="J15" s="103">
        <f>E15-I15</f>
        <v>-46348</v>
      </c>
    </row>
    <row r="16" ht="15.75">
      <c r="F16" s="647"/>
    </row>
    <row r="17" spans="1:6" s="103" customFormat="1" ht="14.25" customHeight="1">
      <c r="A17" s="334" t="s">
        <v>396</v>
      </c>
      <c r="F17" s="648"/>
    </row>
    <row r="18" spans="1:10" ht="15.75">
      <c r="A18" s="104" t="s">
        <v>397</v>
      </c>
      <c r="C18" s="103">
        <v>15</v>
      </c>
      <c r="D18" s="104">
        <v>402</v>
      </c>
      <c r="E18" s="104">
        <f>C18*D18*12</f>
        <v>72360</v>
      </c>
      <c r="F18" s="647"/>
      <c r="G18" s="104">
        <v>7</v>
      </c>
      <c r="H18" s="104">
        <v>453</v>
      </c>
      <c r="I18" s="104">
        <f>H18*7*12</f>
        <v>38052</v>
      </c>
      <c r="J18" s="104">
        <f>E18-I18</f>
        <v>34308</v>
      </c>
    </row>
    <row r="19" spans="1:7" ht="15.75">
      <c r="A19" s="104" t="s">
        <v>390</v>
      </c>
      <c r="C19" s="104">
        <f>1-1</f>
        <v>0</v>
      </c>
      <c r="D19" s="104">
        <v>1935</v>
      </c>
      <c r="E19" s="103">
        <f>C19*D19*12</f>
        <v>0</v>
      </c>
      <c r="F19" s="648"/>
      <c r="G19" s="103">
        <v>1</v>
      </c>
    </row>
    <row r="20" spans="1:10" ht="15.75">
      <c r="A20" s="103" t="s">
        <v>392</v>
      </c>
      <c r="E20" s="103">
        <f>SUM(E18:E19)</f>
        <v>72360</v>
      </c>
      <c r="F20" s="648"/>
      <c r="G20" s="103"/>
      <c r="I20" s="104">
        <f>SUM(I18:I19)</f>
        <v>38052</v>
      </c>
      <c r="J20" s="103">
        <f>SUM(J18:J19)</f>
        <v>34308</v>
      </c>
    </row>
    <row r="21" spans="1:6" ht="15.75">
      <c r="A21" s="334"/>
      <c r="F21" s="647"/>
    </row>
    <row r="22" spans="1:6" ht="15.75">
      <c r="A22" s="334" t="s">
        <v>398</v>
      </c>
      <c r="F22" s="647"/>
    </row>
    <row r="23" spans="1:10" ht="15.75">
      <c r="A23" s="104" t="s">
        <v>399</v>
      </c>
      <c r="C23" s="104">
        <v>2</v>
      </c>
      <c r="D23" s="104">
        <v>761</v>
      </c>
      <c r="E23" s="104">
        <f>C23*D23*12</f>
        <v>18264</v>
      </c>
      <c r="F23" s="647"/>
      <c r="G23" s="104">
        <v>2</v>
      </c>
      <c r="H23" s="104">
        <v>890</v>
      </c>
      <c r="I23" s="104">
        <f>G23*12*H23</f>
        <v>21360</v>
      </c>
      <c r="J23" s="103">
        <f>E23-I23</f>
        <v>-3096</v>
      </c>
    </row>
    <row r="24" ht="15.75">
      <c r="F24" s="647"/>
    </row>
    <row r="25" spans="1:6" ht="15.75">
      <c r="A25" s="334" t="s">
        <v>402</v>
      </c>
      <c r="F25" s="647"/>
    </row>
    <row r="26" spans="1:10" ht="15.75">
      <c r="A26" s="104" t="s">
        <v>403</v>
      </c>
      <c r="C26" s="104">
        <v>4</v>
      </c>
      <c r="D26" s="104">
        <v>399</v>
      </c>
      <c r="E26" s="104">
        <f>C26*D26*12</f>
        <v>19152</v>
      </c>
      <c r="F26" s="647"/>
      <c r="G26" s="104">
        <v>4</v>
      </c>
      <c r="H26" s="104">
        <v>384</v>
      </c>
      <c r="I26" s="104">
        <f>G26*H26*12</f>
        <v>18432</v>
      </c>
      <c r="J26" s="104">
        <f>E26-I26</f>
        <v>720</v>
      </c>
    </row>
    <row r="27" spans="1:6" ht="15.75">
      <c r="A27" s="104" t="s">
        <v>404</v>
      </c>
      <c r="D27" s="104">
        <v>325</v>
      </c>
      <c r="E27" s="104">
        <f>C27*D27*12</f>
        <v>0</v>
      </c>
      <c r="F27" s="647"/>
    </row>
    <row r="28" spans="1:10" ht="15.75">
      <c r="A28" s="103" t="s">
        <v>392</v>
      </c>
      <c r="E28" s="103">
        <f>SUM(E26:E27)</f>
        <v>19152</v>
      </c>
      <c r="F28" s="648"/>
      <c r="G28" s="103"/>
      <c r="I28" s="104">
        <f>SUM(I26:I27)</f>
        <v>18432</v>
      </c>
      <c r="J28" s="103">
        <f>SUM(J26:J27)</f>
        <v>720</v>
      </c>
    </row>
    <row r="29" spans="1:6" ht="15.75">
      <c r="A29" s="103"/>
      <c r="F29" s="647"/>
    </row>
    <row r="30" spans="1:6" ht="15.75">
      <c r="A30" s="334" t="s">
        <v>408</v>
      </c>
      <c r="F30" s="647"/>
    </row>
    <row r="31" spans="1:10" ht="15.75">
      <c r="A31" s="104" t="s">
        <v>409</v>
      </c>
      <c r="C31" s="104">
        <f>2-1</f>
        <v>1</v>
      </c>
      <c r="D31" s="104">
        <f>1189+137</f>
        <v>1326</v>
      </c>
      <c r="E31" s="104">
        <f>C31*D31*12</f>
        <v>15912</v>
      </c>
      <c r="F31" s="647"/>
      <c r="G31" s="104">
        <v>1</v>
      </c>
      <c r="H31" s="104">
        <v>1326</v>
      </c>
      <c r="I31" s="104">
        <f>H31*12</f>
        <v>15912</v>
      </c>
      <c r="J31" s="104">
        <f>E31-I31</f>
        <v>0</v>
      </c>
    </row>
    <row r="32" ht="15.75">
      <c r="F32" s="647"/>
    </row>
    <row r="33" spans="1:6" ht="15.75">
      <c r="A33" s="334" t="s">
        <v>782</v>
      </c>
      <c r="F33" s="647"/>
    </row>
    <row r="34" spans="1:10" ht="15.75">
      <c r="A34" s="103" t="s">
        <v>781</v>
      </c>
      <c r="F34" s="647"/>
      <c r="G34" s="104">
        <v>1</v>
      </c>
      <c r="H34" s="104">
        <v>340</v>
      </c>
      <c r="I34" s="104">
        <f>12*G34*H34</f>
        <v>4080</v>
      </c>
      <c r="J34" s="103">
        <f>E34-I34</f>
        <v>-4080</v>
      </c>
    </row>
    <row r="35" spans="6:10" ht="15.75">
      <c r="F35" s="647"/>
      <c r="J35" s="103"/>
    </row>
    <row r="36" spans="1:10" ht="15.75">
      <c r="A36" s="334" t="s">
        <v>784</v>
      </c>
      <c r="F36" s="647"/>
      <c r="J36" s="103"/>
    </row>
    <row r="37" spans="1:10" ht="15.75">
      <c r="A37" s="104" t="s">
        <v>785</v>
      </c>
      <c r="F37" s="647"/>
      <c r="G37" s="104">
        <v>1</v>
      </c>
      <c r="H37" s="104">
        <f>I37/12</f>
        <v>741.25</v>
      </c>
      <c r="I37" s="104">
        <v>8895</v>
      </c>
      <c r="J37" s="103">
        <f>E37-I37</f>
        <v>-8895</v>
      </c>
    </row>
    <row r="38" spans="6:10" ht="15.75">
      <c r="F38" s="647"/>
      <c r="J38" s="103"/>
    </row>
    <row r="39" spans="1:10" ht="15.75">
      <c r="A39" s="334" t="s">
        <v>910</v>
      </c>
      <c r="F39" s="647"/>
      <c r="J39" s="103"/>
    </row>
    <row r="40" spans="1:10" ht="15.75">
      <c r="A40" s="104" t="s">
        <v>911</v>
      </c>
      <c r="F40" s="647"/>
      <c r="G40" s="104">
        <v>1</v>
      </c>
      <c r="H40" s="104">
        <v>873</v>
      </c>
      <c r="I40" s="104">
        <f>H40*4</f>
        <v>3492</v>
      </c>
      <c r="J40" s="103">
        <f>E40-I40</f>
        <v>-3492</v>
      </c>
    </row>
    <row r="41" spans="6:10" ht="15.75">
      <c r="F41" s="647"/>
      <c r="J41" s="103"/>
    </row>
    <row r="42" spans="1:10" ht="15.75">
      <c r="A42" s="334" t="s">
        <v>918</v>
      </c>
      <c r="F42" s="647"/>
      <c r="J42" s="103"/>
    </row>
    <row r="43" spans="1:10" ht="15.75">
      <c r="A43" s="104" t="s">
        <v>919</v>
      </c>
      <c r="F43" s="647"/>
      <c r="G43" s="104">
        <v>1</v>
      </c>
      <c r="H43" s="104">
        <v>443</v>
      </c>
      <c r="I43" s="104">
        <f>4*H43*G43</f>
        <v>1772</v>
      </c>
      <c r="J43" s="103">
        <f>E43-I43</f>
        <v>-1772</v>
      </c>
    </row>
    <row r="44" spans="6:10" ht="15.75">
      <c r="F44" s="647"/>
      <c r="J44" s="103"/>
    </row>
    <row r="45" spans="1:10" ht="15.75">
      <c r="A45" s="334" t="s">
        <v>912</v>
      </c>
      <c r="F45" s="647"/>
      <c r="J45" s="103"/>
    </row>
    <row r="46" spans="1:10" ht="15.75">
      <c r="A46" s="104" t="s">
        <v>913</v>
      </c>
      <c r="F46" s="647"/>
      <c r="G46" s="104">
        <v>1</v>
      </c>
      <c r="H46" s="104">
        <v>730</v>
      </c>
      <c r="I46" s="104">
        <f>4*G46*H46</f>
        <v>2920</v>
      </c>
      <c r="J46" s="103">
        <f>E46-I46</f>
        <v>-2920</v>
      </c>
    </row>
    <row r="47" ht="15.75">
      <c r="F47" s="647"/>
    </row>
    <row r="48" spans="1:11" s="336" customFormat="1" ht="18.75">
      <c r="A48" s="336" t="s">
        <v>371</v>
      </c>
      <c r="E48" s="336">
        <f>E31+E28+E23+E20+E15+E8+E34</f>
        <v>708250</v>
      </c>
      <c r="F48" s="649">
        <f>F31+F28+F23+F20+F15+F8+F34</f>
        <v>0</v>
      </c>
      <c r="I48" s="336">
        <f>I31+I28+I23+I20+I15+I8+I34+I37</f>
        <v>685996</v>
      </c>
      <c r="J48" s="336">
        <f>J37+J34+J31+J28+J23+J20+J15+J8+J40+J46+J43</f>
        <v>14070</v>
      </c>
      <c r="K48" s="652"/>
    </row>
    <row r="49" spans="1:6" ht="15.75">
      <c r="A49" s="104" t="s">
        <v>649</v>
      </c>
      <c r="F49" s="647"/>
    </row>
    <row r="50" spans="1:10" s="103" customFormat="1" ht="15.75">
      <c r="A50" s="103" t="s">
        <v>586</v>
      </c>
      <c r="E50" s="337">
        <f>(E19+E12+E5)</f>
        <v>132202</v>
      </c>
      <c r="F50" s="650"/>
      <c r="G50" s="337"/>
      <c r="H50" s="337"/>
      <c r="I50" s="337"/>
      <c r="J50" s="337">
        <f>J5+J12+J19+J6</f>
        <v>2053</v>
      </c>
    </row>
    <row r="51" spans="1:10" s="103" customFormat="1" ht="15.75">
      <c r="A51" s="103" t="s">
        <v>589</v>
      </c>
      <c r="E51" s="337">
        <f>E31</f>
        <v>15912</v>
      </c>
      <c r="F51" s="650"/>
      <c r="G51" s="337"/>
      <c r="H51" s="337"/>
      <c r="I51" s="337"/>
      <c r="J51" s="337">
        <f>J31</f>
        <v>0</v>
      </c>
    </row>
    <row r="52" spans="1:10" s="103" customFormat="1" ht="15.75">
      <c r="A52" s="103" t="s">
        <v>587</v>
      </c>
      <c r="E52" s="337">
        <f>(E34+E26+E23+E18+E11+E4)</f>
        <v>423246</v>
      </c>
      <c r="F52" s="650"/>
      <c r="G52" s="337"/>
      <c r="H52" s="337"/>
      <c r="I52" s="337"/>
      <c r="J52" s="337">
        <f>J4+J18+J23+J26+J34+J37+J40+J11+J46+J43</f>
        <v>37863</v>
      </c>
    </row>
    <row r="53" spans="1:10" s="103" customFormat="1" ht="15.75">
      <c r="A53" s="103" t="s">
        <v>588</v>
      </c>
      <c r="E53" s="337">
        <f>(E27+E13+E7)</f>
        <v>136890</v>
      </c>
      <c r="F53" s="650"/>
      <c r="G53" s="337"/>
      <c r="H53" s="337"/>
      <c r="I53" s="337"/>
      <c r="J53" s="337">
        <f>J13+J7+J14</f>
        <v>-25846</v>
      </c>
    </row>
    <row r="54" spans="1:10" s="103" customFormat="1" ht="15.75">
      <c r="A54" s="103" t="s">
        <v>434</v>
      </c>
      <c r="E54" s="337">
        <f>SUM(E50:E53)</f>
        <v>708250</v>
      </c>
      <c r="F54" s="650"/>
      <c r="G54" s="337"/>
      <c r="H54" s="337"/>
      <c r="I54" s="337"/>
      <c r="J54" s="337">
        <f>SUM(J50:J53)</f>
        <v>14070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1" sqref="A1:IV16384"/>
    </sheetView>
  </sheetViews>
  <sheetFormatPr defaultColWidth="9.140625" defaultRowHeight="12.75"/>
  <cols>
    <col min="1" max="1" width="9.28125" style="44" customWidth="1"/>
    <col min="2" max="2" width="33.28125" style="44" bestFit="1" customWidth="1"/>
    <col min="3" max="3" width="11.57421875" style="44" customWidth="1"/>
    <col min="4" max="4" width="9.140625" style="44" customWidth="1"/>
    <col min="5" max="5" width="11.57421875" style="44" customWidth="1"/>
    <col min="6" max="16384" width="9.140625" style="44" customWidth="1"/>
  </cols>
  <sheetData>
    <row r="1" s="43" customFormat="1" ht="15.75">
      <c r="B1" s="43" t="s">
        <v>456</v>
      </c>
    </row>
    <row r="2" ht="15.75">
      <c r="E2" s="92"/>
    </row>
    <row r="4" spans="1:3" ht="15.75">
      <c r="A4" s="102" t="s">
        <v>478</v>
      </c>
      <c r="B4" s="43" t="s">
        <v>479</v>
      </c>
      <c r="C4" s="97" t="s">
        <v>477</v>
      </c>
    </row>
    <row r="5" spans="1:5" ht="15.75">
      <c r="A5" s="94">
        <v>1</v>
      </c>
      <c r="B5" s="94" t="s">
        <v>458</v>
      </c>
      <c r="C5" s="94">
        <v>150000</v>
      </c>
      <c r="D5" s="94"/>
      <c r="E5" s="95"/>
    </row>
    <row r="6" spans="1:5" ht="15.75">
      <c r="A6" s="94">
        <v>2</v>
      </c>
      <c r="B6" s="94" t="s">
        <v>463</v>
      </c>
      <c r="C6" s="94">
        <v>80000</v>
      </c>
      <c r="D6" s="94"/>
      <c r="E6" s="95"/>
    </row>
    <row r="7" spans="1:5" ht="15.75">
      <c r="A7" s="94">
        <v>3</v>
      </c>
      <c r="B7" s="94"/>
      <c r="C7" s="94"/>
      <c r="D7" s="94"/>
      <c r="E7" s="95"/>
    </row>
    <row r="8" spans="1:5" ht="15.75">
      <c r="A8" s="94">
        <v>4</v>
      </c>
      <c r="B8" s="94"/>
      <c r="C8" s="94"/>
      <c r="D8" s="94"/>
      <c r="E8" s="95"/>
    </row>
    <row r="9" spans="1:5" ht="15.75">
      <c r="A9" s="94">
        <v>6</v>
      </c>
      <c r="D9" s="94"/>
      <c r="E9" s="95"/>
    </row>
    <row r="10" spans="1:5" ht="15.75">
      <c r="A10" s="94">
        <v>7</v>
      </c>
      <c r="D10" s="94"/>
      <c r="E10" s="95"/>
    </row>
    <row r="11" spans="1:5" s="98" customFormat="1" ht="15.75">
      <c r="A11" s="94">
        <v>8</v>
      </c>
      <c r="B11" s="100"/>
      <c r="E11" s="99"/>
    </row>
    <row r="12" spans="1:5" ht="15.75">
      <c r="A12" s="94">
        <v>9</v>
      </c>
      <c r="B12" s="94"/>
      <c r="C12" s="94"/>
      <c r="D12" s="94"/>
      <c r="E12" s="94"/>
    </row>
    <row r="13" spans="1:5" ht="15.75">
      <c r="A13" s="94"/>
      <c r="B13" s="94"/>
      <c r="C13" s="94"/>
      <c r="D13" s="94"/>
      <c r="E13" s="94"/>
    </row>
    <row r="14" spans="1:5" ht="15.75">
      <c r="A14" s="94"/>
      <c r="B14" s="94"/>
      <c r="C14" s="94"/>
      <c r="D14" s="94"/>
      <c r="E14" s="94"/>
    </row>
    <row r="15" spans="1:5" ht="15.75">
      <c r="A15" s="94"/>
      <c r="B15" s="94"/>
      <c r="C15" s="94"/>
      <c r="D15" s="94"/>
      <c r="E15" s="94"/>
    </row>
    <row r="16" spans="1:5" s="43" customFormat="1" ht="15.75">
      <c r="A16" s="96"/>
      <c r="B16" s="96" t="s">
        <v>472</v>
      </c>
      <c r="C16" s="101">
        <f>SUM(C5:C15)</f>
        <v>230000</v>
      </c>
      <c r="D16" s="101"/>
      <c r="E16" s="96"/>
    </row>
    <row r="18" spans="2:7" ht="15.75">
      <c r="B18" s="171" t="s">
        <v>546</v>
      </c>
      <c r="C18" s="171">
        <f>C19+C24</f>
        <v>55619</v>
      </c>
      <c r="D18" s="104"/>
      <c r="E18" s="104"/>
      <c r="F18" s="172" t="s">
        <v>547</v>
      </c>
      <c r="G18" s="173" t="s">
        <v>548</v>
      </c>
    </row>
    <row r="19" spans="1:9" ht="15.75">
      <c r="A19" s="93"/>
      <c r="B19" s="171" t="s">
        <v>549</v>
      </c>
      <c r="C19" s="129">
        <f>SUM(C20:C23)</f>
        <v>53901</v>
      </c>
      <c r="D19" s="212" t="s">
        <v>550</v>
      </c>
      <c r="E19" s="104"/>
      <c r="F19" s="175">
        <f>41081.56*1.18</f>
        <v>48476.24079999999</v>
      </c>
      <c r="G19" s="176">
        <f>4597.64*1.18</f>
        <v>5425.215200000001</v>
      </c>
      <c r="I19" s="174"/>
    </row>
    <row r="20" spans="1:9" ht="15.75">
      <c r="A20" s="93"/>
      <c r="B20" s="178" t="s">
        <v>551</v>
      </c>
      <c r="C20" s="178">
        <v>26951</v>
      </c>
      <c r="D20" s="178"/>
      <c r="E20" s="179"/>
      <c r="F20" s="180">
        <f>30470.019</f>
        <v>30470.019</v>
      </c>
      <c r="G20" s="180">
        <v>972.497</v>
      </c>
      <c r="I20" s="177">
        <f>SUM(F19:G19)</f>
        <v>53901.45599999999</v>
      </c>
    </row>
    <row r="21" spans="1:9" s="43" customFormat="1" ht="15.75">
      <c r="A21" s="178"/>
      <c r="B21" s="178" t="s">
        <v>552</v>
      </c>
      <c r="C21" s="178">
        <v>16170</v>
      </c>
      <c r="D21" s="178"/>
      <c r="E21" s="178"/>
      <c r="F21" s="182"/>
      <c r="G21" s="178"/>
      <c r="I21" s="181">
        <f>SUM(F20:G20)</f>
        <v>31442.516</v>
      </c>
    </row>
    <row r="22" spans="1:9" ht="15.75">
      <c r="A22" s="178"/>
      <c r="B22" s="178" t="s">
        <v>553</v>
      </c>
      <c r="C22" s="178">
        <v>5390</v>
      </c>
      <c r="D22" s="178"/>
      <c r="E22" s="178"/>
      <c r="F22" s="183"/>
      <c r="G22" s="178"/>
      <c r="I22" s="128"/>
    </row>
    <row r="23" spans="1:9" ht="2.25" customHeight="1">
      <c r="A23" s="179"/>
      <c r="B23" s="178" t="s">
        <v>554</v>
      </c>
      <c r="C23" s="178">
        <v>5390</v>
      </c>
      <c r="D23" s="178"/>
      <c r="E23" s="178"/>
      <c r="F23" s="178"/>
      <c r="G23" s="179"/>
      <c r="I23" s="128"/>
    </row>
    <row r="24" spans="1:9" ht="15.75">
      <c r="A24" s="178"/>
      <c r="B24" s="171" t="s">
        <v>555</v>
      </c>
      <c r="C24" s="129">
        <v>1718</v>
      </c>
      <c r="D24" s="184"/>
      <c r="E24" s="93"/>
      <c r="F24" s="129">
        <v>1689</v>
      </c>
      <c r="G24" s="129">
        <v>29</v>
      </c>
      <c r="I24" s="128"/>
    </row>
    <row r="25" spans="1:9" ht="15.75">
      <c r="A25" s="93"/>
      <c r="B25" s="171"/>
      <c r="C25" s="186" t="s">
        <v>388</v>
      </c>
      <c r="D25" s="186" t="s">
        <v>547</v>
      </c>
      <c r="E25" s="186" t="s">
        <v>548</v>
      </c>
      <c r="F25" s="93"/>
      <c r="G25" s="93"/>
      <c r="I25" s="185">
        <f>SUM(F24:G24)</f>
        <v>1718</v>
      </c>
    </row>
    <row r="26" spans="1:9" ht="15.75">
      <c r="A26" s="93"/>
      <c r="B26" s="187" t="s">
        <v>556</v>
      </c>
      <c r="C26" s="171">
        <f>SUM(D26:E26)</f>
        <v>755000</v>
      </c>
      <c r="D26" s="93">
        <v>661000</v>
      </c>
      <c r="E26" s="93">
        <v>94000</v>
      </c>
      <c r="F26" s="93"/>
      <c r="G26" s="93"/>
      <c r="I26" s="128"/>
    </row>
    <row r="27" spans="1:9" s="107" customFormat="1" ht="15.75">
      <c r="A27" s="206"/>
      <c r="B27" s="207">
        <v>2004</v>
      </c>
      <c r="C27" s="213">
        <f>SUM(D27:E27)</f>
        <v>706996</v>
      </c>
      <c r="D27" s="207">
        <v>660887</v>
      </c>
      <c r="E27" s="207">
        <v>46109</v>
      </c>
      <c r="F27" s="196"/>
      <c r="G27" s="196"/>
      <c r="I27" s="208"/>
    </row>
    <row r="28" spans="1:9" ht="15.75">
      <c r="A28" s="129"/>
      <c r="B28" s="178">
        <v>2005</v>
      </c>
      <c r="C28" s="93">
        <f>SUM(D28:E28)</f>
        <v>280690</v>
      </c>
      <c r="D28" s="178">
        <v>275792</v>
      </c>
      <c r="E28" s="178">
        <v>4898</v>
      </c>
      <c r="F28" s="129"/>
      <c r="G28" s="129"/>
      <c r="I28" s="128"/>
    </row>
    <row r="29" spans="1:9" ht="15.75">
      <c r="A29" s="129"/>
      <c r="B29" s="189" t="s">
        <v>557</v>
      </c>
      <c r="C29" s="188">
        <f>SUM(D29:E29)</f>
        <v>29000</v>
      </c>
      <c r="D29" s="178">
        <v>4000</v>
      </c>
      <c r="E29" s="178">
        <v>25000</v>
      </c>
      <c r="F29" s="188"/>
      <c r="G29" s="188"/>
      <c r="I29" s="128"/>
    </row>
    <row r="30" spans="1:9" ht="15.75">
      <c r="A30" s="188"/>
      <c r="B30" s="191"/>
      <c r="C30" s="192"/>
      <c r="D30" s="193"/>
      <c r="E30" s="194"/>
      <c r="F30" s="194"/>
      <c r="G30" s="194"/>
      <c r="I30" s="190"/>
    </row>
    <row r="31" spans="1:9" ht="15.75">
      <c r="A31" s="171"/>
      <c r="B31" s="93"/>
      <c r="C31" s="196"/>
      <c r="D31" s="104"/>
      <c r="E31" s="104"/>
      <c r="F31" s="93"/>
      <c r="G31" s="93"/>
      <c r="I31" s="195"/>
    </row>
    <row r="32" spans="1:9" ht="15.75">
      <c r="A32" s="93"/>
      <c r="B32"/>
      <c r="C32"/>
      <c r="D32" s="197" t="s">
        <v>558</v>
      </c>
      <c r="E32" s="197" t="s">
        <v>559</v>
      </c>
      <c r="F32" s="197" t="s">
        <v>560</v>
      </c>
      <c r="G32" s="93"/>
      <c r="I32" s="93"/>
    </row>
    <row r="33" spans="1:9" ht="15.75">
      <c r="A33" s="93"/>
      <c r="B33" s="198" t="s">
        <v>561</v>
      </c>
      <c r="C33" t="s">
        <v>562</v>
      </c>
      <c r="D33" s="197">
        <v>7.158</v>
      </c>
      <c r="E33" s="197">
        <v>63</v>
      </c>
      <c r="F33">
        <v>2005</v>
      </c>
      <c r="G33" s="93"/>
      <c r="I33" s="93"/>
    </row>
    <row r="34" spans="1:9" ht="15.75">
      <c r="A34" s="93"/>
      <c r="B34"/>
      <c r="C34" t="s">
        <v>563</v>
      </c>
      <c r="D34"/>
      <c r="E34" s="197">
        <v>4.6</v>
      </c>
      <c r="F34">
        <v>2004</v>
      </c>
      <c r="G34" s="93"/>
      <c r="I34" s="93"/>
    </row>
    <row r="35" spans="1:9" ht="15.75">
      <c r="A35" s="93"/>
      <c r="B35"/>
      <c r="C35"/>
      <c r="D35"/>
      <c r="E35" s="197"/>
      <c r="F35"/>
      <c r="G35" s="93"/>
      <c r="I35" s="93"/>
    </row>
    <row r="36" spans="1:9" ht="15.75">
      <c r="A36" s="93"/>
      <c r="B36"/>
      <c r="C36"/>
      <c r="D36"/>
      <c r="E36" s="199">
        <f>SUM(E33:E35)</f>
        <v>67.6</v>
      </c>
      <c r="F36" s="200" t="s">
        <v>564</v>
      </c>
      <c r="G36" s="93"/>
      <c r="I36" s="93"/>
    </row>
    <row r="37" spans="1:9" ht="15.75">
      <c r="A37" s="93"/>
      <c r="B37"/>
      <c r="C37"/>
      <c r="D37"/>
      <c r="E37"/>
      <c r="F37"/>
      <c r="G37"/>
      <c r="I37" s="93"/>
    </row>
    <row r="38" spans="1:9" ht="15.75">
      <c r="A38" s="93"/>
      <c r="B38"/>
      <c r="C38" s="201" t="s">
        <v>565</v>
      </c>
      <c r="D38" s="202"/>
      <c r="E38" s="197"/>
      <c r="F38"/>
      <c r="G38"/>
      <c r="I38" s="93"/>
    </row>
    <row r="39" spans="1:9" ht="15.75">
      <c r="A39" t="s">
        <v>569</v>
      </c>
      <c r="B39"/>
      <c r="C39"/>
      <c r="D39" s="209" t="s">
        <v>566</v>
      </c>
      <c r="E39" s="197" t="s">
        <v>559</v>
      </c>
      <c r="F39" s="197" t="s">
        <v>567</v>
      </c>
      <c r="G39" s="197" t="s">
        <v>568</v>
      </c>
      <c r="I39" s="93"/>
    </row>
    <row r="40" spans="1:9" ht="15.75">
      <c r="A40" t="s">
        <v>571</v>
      </c>
      <c r="C40"/>
      <c r="D40" s="210" t="s">
        <v>570</v>
      </c>
      <c r="E40">
        <v>100000</v>
      </c>
      <c r="F40">
        <f>0.005*E40</f>
        <v>500</v>
      </c>
      <c r="G40">
        <f>365*F40</f>
        <v>182500</v>
      </c>
      <c r="I40" s="93"/>
    </row>
    <row r="41" spans="1:9" ht="15.75">
      <c r="A41" s="201" t="s">
        <v>573</v>
      </c>
      <c r="C41"/>
      <c r="D41" s="211" t="s">
        <v>572</v>
      </c>
      <c r="E41">
        <v>100000</v>
      </c>
      <c r="F41">
        <f>0.0007*E41</f>
        <v>70</v>
      </c>
      <c r="G41">
        <f>365*F41</f>
        <v>25550</v>
      </c>
      <c r="I41" s="93"/>
    </row>
    <row r="42" spans="1:9" ht="15.75">
      <c r="A42" s="93"/>
      <c r="C42" s="201"/>
      <c r="D42" s="203" t="s">
        <v>574</v>
      </c>
      <c r="E42" s="201">
        <v>100000</v>
      </c>
      <c r="F42" s="204">
        <f>(100000*0.115)/365</f>
        <v>31.506849315068493</v>
      </c>
      <c r="G42" s="201">
        <f>365*F42</f>
        <v>11500</v>
      </c>
      <c r="I42" s="93"/>
    </row>
    <row r="43" spans="1:9" ht="15.75">
      <c r="A43" s="93"/>
      <c r="B43" s="201"/>
      <c r="C43" s="203"/>
      <c r="D43" s="203" t="s">
        <v>575</v>
      </c>
      <c r="E43" s="201">
        <v>1000</v>
      </c>
      <c r="F43" s="205">
        <f>E43/365</f>
        <v>2.73972602739726</v>
      </c>
      <c r="G43" s="201">
        <f>365*F43</f>
        <v>1000</v>
      </c>
      <c r="I43" s="93"/>
    </row>
    <row r="44" spans="1:9" ht="15.75">
      <c r="A44" s="93"/>
      <c r="B44"/>
      <c r="C44"/>
      <c r="D44"/>
      <c r="E44"/>
      <c r="F44"/>
      <c r="G44"/>
      <c r="I44" s="93"/>
    </row>
    <row r="45" spans="1:9" ht="15.75">
      <c r="A45" s="93"/>
      <c r="B45" s="93"/>
      <c r="I45" s="93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IV16384"/>
    </sheetView>
  </sheetViews>
  <sheetFormatPr defaultColWidth="9.140625" defaultRowHeight="12.75"/>
  <cols>
    <col min="1" max="1" width="1.57421875" style="93" customWidth="1"/>
    <col min="2" max="2" width="4.421875" style="93" customWidth="1"/>
    <col min="3" max="3" width="34.28125" style="93" customWidth="1"/>
    <col min="4" max="6" width="7.00390625" style="93" bestFit="1" customWidth="1"/>
    <col min="7" max="8" width="8.00390625" style="93" bestFit="1" customWidth="1"/>
    <col min="9" max="9" width="7.00390625" style="93" bestFit="1" customWidth="1"/>
    <col min="10" max="10" width="7.00390625" style="93" customWidth="1"/>
    <col min="11" max="11" width="7.140625" style="132" customWidth="1"/>
    <col min="12" max="12" width="8.00390625" style="93" bestFit="1" customWidth="1"/>
    <col min="13" max="16384" width="9.140625" style="93" customWidth="1"/>
  </cols>
  <sheetData>
    <row r="1" spans="1:12" s="129" customFormat="1" ht="90.75">
      <c r="A1" s="235"/>
      <c r="B1" s="236"/>
      <c r="C1" s="242" t="s">
        <v>600</v>
      </c>
      <c r="D1" s="237" t="s">
        <v>696</v>
      </c>
      <c r="E1" s="237" t="s">
        <v>595</v>
      </c>
      <c r="F1" s="237" t="s">
        <v>596</v>
      </c>
      <c r="G1" s="237" t="s">
        <v>597</v>
      </c>
      <c r="H1" s="237" t="s">
        <v>598</v>
      </c>
      <c r="I1" s="237" t="s">
        <v>599</v>
      </c>
      <c r="J1" s="237" t="s">
        <v>697</v>
      </c>
      <c r="K1" s="240" t="s">
        <v>698</v>
      </c>
      <c r="L1" s="241" t="s">
        <v>434</v>
      </c>
    </row>
    <row r="2" spans="1:14" ht="13.5" thickBot="1">
      <c r="A2" s="233" t="s">
        <v>40</v>
      </c>
      <c r="B2" s="234"/>
      <c r="C2" s="233"/>
      <c r="D2" s="230">
        <f aca="true" t="shared" si="0" ref="D2:K2">D54+D51+D50+D46+D10+D3</f>
        <v>147869</v>
      </c>
      <c r="E2" s="230">
        <f t="shared" si="0"/>
        <v>440587.9</v>
      </c>
      <c r="F2" s="230">
        <f t="shared" si="0"/>
        <v>408398</v>
      </c>
      <c r="G2" s="230">
        <f t="shared" si="0"/>
        <v>1093394.135</v>
      </c>
      <c r="H2" s="230">
        <f t="shared" si="0"/>
        <v>1026525.36</v>
      </c>
      <c r="I2" s="230">
        <f t="shared" si="0"/>
        <v>504260</v>
      </c>
      <c r="J2" s="230">
        <f t="shared" si="0"/>
        <v>148114</v>
      </c>
      <c r="K2" s="230">
        <f t="shared" si="0"/>
        <v>53007</v>
      </c>
      <c r="L2" s="230">
        <f>SUM(D2:K2)</f>
        <v>3822155.395</v>
      </c>
      <c r="N2" s="332"/>
    </row>
    <row r="3" spans="1:12" s="129" customFormat="1" ht="13.5" thickBot="1">
      <c r="A3" s="108" t="s">
        <v>534</v>
      </c>
      <c r="B3" s="108"/>
      <c r="C3" s="108"/>
      <c r="D3" s="138">
        <f aca="true" t="shared" si="1" ref="D3:K3">SUM(D4:D9)</f>
        <v>135369</v>
      </c>
      <c r="E3" s="142">
        <f t="shared" si="1"/>
        <v>348087.9</v>
      </c>
      <c r="F3" s="142">
        <f t="shared" si="1"/>
        <v>318798</v>
      </c>
      <c r="G3" s="142">
        <f t="shared" si="1"/>
        <v>442794.135</v>
      </c>
      <c r="H3" s="142">
        <f t="shared" si="1"/>
        <v>430425.36</v>
      </c>
      <c r="I3" s="142">
        <f t="shared" si="1"/>
        <v>0</v>
      </c>
      <c r="J3" s="142">
        <f t="shared" si="1"/>
        <v>0</v>
      </c>
      <c r="K3" s="142">
        <f t="shared" si="1"/>
        <v>32307</v>
      </c>
      <c r="L3" s="239">
        <f>SUM(D3:K3)</f>
        <v>1707781.395</v>
      </c>
    </row>
    <row r="4" spans="1:11" ht="12.75">
      <c r="A4" s="110"/>
      <c r="B4" s="119" t="s">
        <v>41</v>
      </c>
      <c r="C4" s="119"/>
      <c r="D4" s="139">
        <f>7800*12</f>
        <v>93600</v>
      </c>
      <c r="E4" s="139"/>
      <c r="F4" s="139"/>
      <c r="G4" s="139"/>
      <c r="H4" s="139"/>
      <c r="I4" s="139"/>
      <c r="J4" s="139"/>
      <c r="K4" s="144"/>
    </row>
    <row r="5" spans="1:11" ht="12.75">
      <c r="A5" s="110"/>
      <c r="B5" s="111" t="s">
        <v>591</v>
      </c>
      <c r="C5" s="111"/>
      <c r="D5" s="140"/>
      <c r="E5" s="140">
        <f>(4700+2350+3700+3450+800+2400+540+1600+1600+3700)*12-((1175+925+800)*12)-5*700+80*12</f>
        <v>260740</v>
      </c>
      <c r="F5" s="140">
        <f>(4000+3700+3700+3450+3200+1850)*12</f>
        <v>238800</v>
      </c>
      <c r="G5" s="140">
        <f>220400+28512</f>
        <v>248912</v>
      </c>
      <c r="H5" s="140">
        <f>(23118)*12</f>
        <v>277416</v>
      </c>
      <c r="I5" s="140"/>
      <c r="J5" s="140"/>
      <c r="K5" s="145">
        <f>2200*11</f>
        <v>24200</v>
      </c>
    </row>
    <row r="6" spans="1:11" ht="12.75">
      <c r="A6" s="110"/>
      <c r="B6" s="111" t="s">
        <v>625</v>
      </c>
      <c r="C6" s="111"/>
      <c r="D6" s="140"/>
      <c r="E6" s="140"/>
      <c r="F6" s="140"/>
      <c r="G6" s="140">
        <f>81281-28512</f>
        <v>52769</v>
      </c>
      <c r="H6" s="140">
        <v>45000</v>
      </c>
      <c r="I6" s="140"/>
      <c r="J6" s="140"/>
      <c r="K6" s="145"/>
    </row>
    <row r="7" spans="1:11" ht="12.75" hidden="1">
      <c r="A7" s="110"/>
      <c r="B7" s="114" t="s">
        <v>44</v>
      </c>
      <c r="C7" s="114"/>
      <c r="D7" s="141"/>
      <c r="E7" s="141"/>
      <c r="F7" s="141"/>
      <c r="G7" s="141"/>
      <c r="H7" s="141"/>
      <c r="I7" s="141"/>
      <c r="J7" s="141"/>
      <c r="K7" s="146"/>
    </row>
    <row r="8" spans="1:11" ht="12.75">
      <c r="A8" s="110"/>
      <c r="B8" s="116" t="s">
        <v>746</v>
      </c>
      <c r="C8" s="117"/>
      <c r="D8" s="140">
        <v>7800</v>
      </c>
      <c r="E8" s="140"/>
      <c r="F8" s="140"/>
      <c r="G8" s="140">
        <f>2500*12</f>
        <v>30000</v>
      </c>
      <c r="H8" s="140"/>
      <c r="I8" s="140"/>
      <c r="J8" s="140"/>
      <c r="K8" s="145"/>
    </row>
    <row r="9" spans="1:11" ht="13.5" thickBot="1">
      <c r="A9" s="110"/>
      <c r="B9" s="119" t="s">
        <v>511</v>
      </c>
      <c r="C9" s="119"/>
      <c r="D9" s="139">
        <f>(D4+D5+D6+D8)*0.335</f>
        <v>33969</v>
      </c>
      <c r="E9" s="139">
        <f aca="true" t="shared" si="2" ref="E9:K9">(E4+E5+E6+E8)*0.335</f>
        <v>87347.90000000001</v>
      </c>
      <c r="F9" s="139">
        <f t="shared" si="2"/>
        <v>79998</v>
      </c>
      <c r="G9" s="139">
        <f t="shared" si="2"/>
        <v>111113.13500000001</v>
      </c>
      <c r="H9" s="139">
        <f t="shared" si="2"/>
        <v>108009.36</v>
      </c>
      <c r="I9" s="139">
        <f t="shared" si="2"/>
        <v>0</v>
      </c>
      <c r="J9" s="139"/>
      <c r="K9" s="139">
        <f t="shared" si="2"/>
        <v>8107.000000000001</v>
      </c>
    </row>
    <row r="10" spans="1:11" s="129" customFormat="1" ht="13.5" thickBot="1">
      <c r="A10" s="108" t="s">
        <v>535</v>
      </c>
      <c r="B10" s="108"/>
      <c r="C10" s="108"/>
      <c r="D10" s="138">
        <f aca="true" t="shared" si="3" ref="D10:K10">D11+D19+D20+D21+D28+D29+D32+D36+D39+D41+D42+D43</f>
        <v>12500</v>
      </c>
      <c r="E10" s="138">
        <f t="shared" si="3"/>
        <v>92500</v>
      </c>
      <c r="F10" s="138">
        <f t="shared" si="3"/>
        <v>89600</v>
      </c>
      <c r="G10" s="138">
        <f t="shared" si="3"/>
        <v>650600</v>
      </c>
      <c r="H10" s="138">
        <f t="shared" si="3"/>
        <v>596100</v>
      </c>
      <c r="I10" s="138">
        <f t="shared" si="3"/>
        <v>15300</v>
      </c>
      <c r="J10" s="231"/>
      <c r="K10" s="232">
        <f t="shared" si="3"/>
        <v>8500</v>
      </c>
    </row>
    <row r="11" spans="1:11" s="129" customFormat="1" ht="12" customHeight="1">
      <c r="A11" s="151"/>
      <c r="B11" s="158" t="s">
        <v>510</v>
      </c>
      <c r="C11" s="158"/>
      <c r="D11" s="163">
        <f>SUM(D12:D18)</f>
        <v>11000</v>
      </c>
      <c r="E11" s="163">
        <f>SUM(E12:E18)</f>
        <v>10000</v>
      </c>
      <c r="F11" s="163">
        <f>SUM(F12:F18)</f>
        <v>10000</v>
      </c>
      <c r="G11" s="163">
        <f>SUM(G12:G18)</f>
        <v>80000</v>
      </c>
      <c r="H11" s="163">
        <f>SUM(H12:H18)</f>
        <v>60100</v>
      </c>
      <c r="I11" s="163"/>
      <c r="J11" s="163"/>
      <c r="K11" s="163">
        <f>SUM(K12:K18)</f>
        <v>0</v>
      </c>
    </row>
    <row r="12" spans="1:11" ht="12" customHeight="1">
      <c r="A12" s="110"/>
      <c r="B12" s="136"/>
      <c r="C12" s="112" t="s">
        <v>500</v>
      </c>
      <c r="D12" s="139">
        <v>500</v>
      </c>
      <c r="E12" s="139">
        <v>1000</v>
      </c>
      <c r="F12" s="139">
        <v>400</v>
      </c>
      <c r="G12" s="139">
        <v>11000</v>
      </c>
      <c r="H12" s="139">
        <v>20000</v>
      </c>
      <c r="I12" s="121"/>
      <c r="J12" s="121"/>
      <c r="K12" s="131"/>
    </row>
    <row r="13" spans="1:11" ht="12" customHeight="1">
      <c r="A13" s="110"/>
      <c r="B13" s="136"/>
      <c r="C13" s="112" t="s">
        <v>501</v>
      </c>
      <c r="D13" s="139"/>
      <c r="E13" s="139"/>
      <c r="F13" s="139">
        <v>1000</v>
      </c>
      <c r="G13" s="139">
        <f>15000-5000</f>
        <v>10000</v>
      </c>
      <c r="H13" s="139">
        <v>5000</v>
      </c>
      <c r="I13" s="139"/>
      <c r="J13" s="139"/>
      <c r="K13" s="144"/>
    </row>
    <row r="14" spans="1:11" ht="12" customHeight="1">
      <c r="A14" s="110"/>
      <c r="B14" s="136"/>
      <c r="C14" s="112" t="s">
        <v>502</v>
      </c>
      <c r="D14" s="139">
        <v>2500</v>
      </c>
      <c r="E14" s="139">
        <v>5000</v>
      </c>
      <c r="F14" s="139">
        <v>5000</v>
      </c>
      <c r="G14" s="139">
        <v>17000</v>
      </c>
      <c r="H14" s="139">
        <v>6000</v>
      </c>
      <c r="I14" s="139"/>
      <c r="J14" s="139"/>
      <c r="K14" s="144"/>
    </row>
    <row r="15" spans="1:11" ht="12" customHeight="1">
      <c r="A15" s="110"/>
      <c r="B15" s="136"/>
      <c r="C15" s="112" t="s">
        <v>503</v>
      </c>
      <c r="D15" s="139"/>
      <c r="E15" s="139"/>
      <c r="F15" s="139">
        <v>300</v>
      </c>
      <c r="G15" s="139">
        <v>500</v>
      </c>
      <c r="H15" s="139">
        <v>100</v>
      </c>
      <c r="I15" s="139"/>
      <c r="J15" s="139"/>
      <c r="K15" s="144"/>
    </row>
    <row r="16" spans="1:11" ht="12" customHeight="1">
      <c r="A16" s="110"/>
      <c r="B16" s="136"/>
      <c r="C16" s="112" t="s">
        <v>504</v>
      </c>
      <c r="D16" s="139">
        <f>3000+4000+1000</f>
        <v>8000</v>
      </c>
      <c r="E16" s="139">
        <v>2000</v>
      </c>
      <c r="F16" s="139">
        <v>3000</v>
      </c>
      <c r="G16" s="139">
        <v>40000</v>
      </c>
      <c r="H16" s="139">
        <v>28000</v>
      </c>
      <c r="I16" s="139"/>
      <c r="J16" s="139"/>
      <c r="K16" s="144"/>
    </row>
    <row r="17" spans="1:11" ht="12" customHeight="1">
      <c r="A17" s="110"/>
      <c r="B17" s="136"/>
      <c r="C17" s="112" t="s">
        <v>602</v>
      </c>
      <c r="D17" s="139"/>
      <c r="E17" s="139">
        <v>3000</v>
      </c>
      <c r="F17" s="139">
        <v>5000</v>
      </c>
      <c r="G17" s="139">
        <v>1000</v>
      </c>
      <c r="H17" s="139">
        <v>1000</v>
      </c>
      <c r="I17" s="139"/>
      <c r="J17" s="139"/>
      <c r="K17" s="144"/>
    </row>
    <row r="18" spans="1:11" ht="12" customHeight="1">
      <c r="A18" s="110"/>
      <c r="B18" s="136"/>
      <c r="C18" s="112" t="s">
        <v>741</v>
      </c>
      <c r="D18" s="139"/>
      <c r="E18" s="139">
        <v>-1000</v>
      </c>
      <c r="F18" s="139">
        <v>-4700</v>
      </c>
      <c r="G18" s="139">
        <v>500</v>
      </c>
      <c r="H18" s="139"/>
      <c r="I18" s="139"/>
      <c r="J18" s="139"/>
      <c r="K18" s="144"/>
    </row>
    <row r="19" spans="1:11" s="129" customFormat="1" ht="13.5">
      <c r="A19" s="151"/>
      <c r="B19" s="152" t="s">
        <v>508</v>
      </c>
      <c r="C19" s="153"/>
      <c r="D19" s="170">
        <f>1000-500</f>
        <v>500</v>
      </c>
      <c r="E19" s="156">
        <v>2000</v>
      </c>
      <c r="F19" s="156">
        <v>2000</v>
      </c>
      <c r="G19" s="156"/>
      <c r="H19" s="156">
        <v>6000</v>
      </c>
      <c r="I19" s="156"/>
      <c r="J19" s="156"/>
      <c r="K19" s="157">
        <v>500</v>
      </c>
    </row>
    <row r="20" spans="1:11" s="129" customFormat="1" ht="13.5">
      <c r="A20" s="151"/>
      <c r="B20" s="152" t="s">
        <v>47</v>
      </c>
      <c r="C20" s="153"/>
      <c r="D20" s="170">
        <v>1000</v>
      </c>
      <c r="E20" s="156">
        <f>3000-1000</f>
        <v>2000</v>
      </c>
      <c r="F20" s="156">
        <v>2000</v>
      </c>
      <c r="G20" s="156">
        <v>19000</v>
      </c>
      <c r="H20" s="156">
        <v>8000</v>
      </c>
      <c r="I20" s="156"/>
      <c r="J20" s="156"/>
      <c r="K20" s="157">
        <f>1000+3000</f>
        <v>4000</v>
      </c>
    </row>
    <row r="21" spans="1:11" s="129" customFormat="1" ht="12.75">
      <c r="A21" s="151"/>
      <c r="B21" s="158" t="s">
        <v>48</v>
      </c>
      <c r="C21" s="158"/>
      <c r="D21" s="156">
        <f>SUM(D22:D27)</f>
        <v>0</v>
      </c>
      <c r="E21" s="156">
        <f>SUM(E22:E27)</f>
        <v>35000</v>
      </c>
      <c r="F21" s="156">
        <f>SUM(F22:F27)</f>
        <v>40000</v>
      </c>
      <c r="G21" s="156">
        <f>SUM(G22:G27)</f>
        <v>296000</v>
      </c>
      <c r="H21" s="156">
        <f>SUM(H22:H27)</f>
        <v>300000</v>
      </c>
      <c r="I21" s="156"/>
      <c r="J21" s="156"/>
      <c r="K21" s="156">
        <f>SUM(K22:K27)</f>
        <v>0</v>
      </c>
    </row>
    <row r="22" spans="1:11" ht="12.75">
      <c r="A22" s="110"/>
      <c r="B22" s="119"/>
      <c r="C22" s="120" t="s">
        <v>509</v>
      </c>
      <c r="D22" s="140"/>
      <c r="E22" s="140">
        <v>30000</v>
      </c>
      <c r="F22" s="140">
        <v>30000</v>
      </c>
      <c r="G22" s="140">
        <f>73000-30000</f>
        <v>43000</v>
      </c>
      <c r="H22" s="140"/>
      <c r="I22" s="140"/>
      <c r="J22" s="140"/>
      <c r="K22" s="145"/>
    </row>
    <row r="23" spans="1:11" ht="12.75">
      <c r="A23" s="110"/>
      <c r="B23" s="119"/>
      <c r="C23" s="120" t="s">
        <v>515</v>
      </c>
      <c r="D23" s="140"/>
      <c r="E23" s="140">
        <v>5000</v>
      </c>
      <c r="F23" s="140"/>
      <c r="G23" s="140">
        <f>352000-156000</f>
        <v>196000</v>
      </c>
      <c r="H23" s="140"/>
      <c r="I23" s="140"/>
      <c r="J23" s="140"/>
      <c r="K23" s="145"/>
    </row>
    <row r="24" spans="1:11" ht="12.75">
      <c r="A24" s="110"/>
      <c r="B24" s="119"/>
      <c r="C24" s="119" t="s">
        <v>516</v>
      </c>
      <c r="D24" s="140"/>
      <c r="E24" s="140">
        <v>3000</v>
      </c>
      <c r="F24" s="140">
        <v>4500</v>
      </c>
      <c r="G24" s="140">
        <f>14000-7000</f>
        <v>7000</v>
      </c>
      <c r="H24" s="140"/>
      <c r="I24" s="140"/>
      <c r="J24" s="140"/>
      <c r="K24" s="145"/>
    </row>
    <row r="25" spans="1:11" ht="12.75">
      <c r="A25" s="110"/>
      <c r="B25" s="119"/>
      <c r="C25" s="119" t="s">
        <v>517</v>
      </c>
      <c r="D25" s="140"/>
      <c r="E25" s="140">
        <v>4000</v>
      </c>
      <c r="F25" s="140">
        <v>7000</v>
      </c>
      <c r="G25" s="140">
        <f>25000-2000</f>
        <v>23000</v>
      </c>
      <c r="H25" s="140"/>
      <c r="I25" s="140"/>
      <c r="J25" s="140"/>
      <c r="K25" s="145"/>
    </row>
    <row r="26" spans="1:11" ht="12.75">
      <c r="A26" s="110"/>
      <c r="B26" s="119"/>
      <c r="C26" s="119" t="s">
        <v>518</v>
      </c>
      <c r="D26" s="140"/>
      <c r="E26" s="140">
        <v>6000</v>
      </c>
      <c r="F26" s="140">
        <v>6500</v>
      </c>
      <c r="G26" s="140">
        <f>25000-10000</f>
        <v>15000</v>
      </c>
      <c r="H26" s="140"/>
      <c r="I26" s="140"/>
      <c r="J26" s="140"/>
      <c r="K26" s="145"/>
    </row>
    <row r="27" spans="1:11" ht="12.75">
      <c r="A27" s="110"/>
      <c r="B27" s="119"/>
      <c r="C27" s="119" t="s">
        <v>742</v>
      </c>
      <c r="D27" s="140"/>
      <c r="E27" s="140">
        <v>-13000</v>
      </c>
      <c r="F27" s="140">
        <v>-8000</v>
      </c>
      <c r="G27" s="140">
        <f>14000-2000</f>
        <v>12000</v>
      </c>
      <c r="H27" s="140">
        <f>320000-20000</f>
        <v>300000</v>
      </c>
      <c r="I27" s="140"/>
      <c r="J27" s="140"/>
      <c r="K27" s="145"/>
    </row>
    <row r="28" spans="1:11" s="129" customFormat="1" ht="13.5">
      <c r="A28" s="151"/>
      <c r="B28" s="161" t="s">
        <v>49</v>
      </c>
      <c r="C28" s="161"/>
      <c r="D28" s="156"/>
      <c r="E28" s="156"/>
      <c r="F28" s="156"/>
      <c r="G28" s="156"/>
      <c r="H28" s="156"/>
      <c r="I28" s="156"/>
      <c r="J28" s="156"/>
      <c r="K28" s="157"/>
    </row>
    <row r="29" spans="1:11" s="129" customFormat="1" ht="12.75">
      <c r="A29" s="151"/>
      <c r="B29" s="161" t="s">
        <v>374</v>
      </c>
      <c r="C29" s="161"/>
      <c r="D29" s="156">
        <f aca="true" t="shared" si="4" ref="D29:K29">SUM(D30:D31)</f>
        <v>0</v>
      </c>
      <c r="E29" s="156">
        <f t="shared" si="4"/>
        <v>4000</v>
      </c>
      <c r="F29" s="156">
        <f t="shared" si="4"/>
        <v>5000</v>
      </c>
      <c r="G29" s="156">
        <f t="shared" si="4"/>
        <v>14000</v>
      </c>
      <c r="H29" s="156">
        <f t="shared" si="4"/>
        <v>14000</v>
      </c>
      <c r="I29" s="156">
        <f t="shared" si="4"/>
        <v>15300</v>
      </c>
      <c r="J29" s="156"/>
      <c r="K29" s="156">
        <f t="shared" si="4"/>
        <v>0</v>
      </c>
    </row>
    <row r="30" spans="1:11" ht="12.75">
      <c r="A30" s="110"/>
      <c r="B30" s="111"/>
      <c r="C30" s="111" t="s">
        <v>520</v>
      </c>
      <c r="D30" s="140"/>
      <c r="E30" s="140"/>
      <c r="F30" s="140"/>
      <c r="G30" s="140"/>
      <c r="H30" s="140"/>
      <c r="I30" s="140"/>
      <c r="J30" s="140"/>
      <c r="K30" s="145"/>
    </row>
    <row r="31" spans="1:11" ht="12.75">
      <c r="A31" s="110"/>
      <c r="B31" s="111"/>
      <c r="C31" s="111" t="s">
        <v>522</v>
      </c>
      <c r="D31" s="140"/>
      <c r="E31" s="140">
        <v>4000</v>
      </c>
      <c r="F31" s="140">
        <v>5000</v>
      </c>
      <c r="G31" s="140">
        <v>14000</v>
      </c>
      <c r="H31" s="140">
        <v>14000</v>
      </c>
      <c r="I31" s="140">
        <f>(1200*9)*1+500*9</f>
        <v>15300</v>
      </c>
      <c r="J31" s="140"/>
      <c r="K31" s="145"/>
    </row>
    <row r="32" spans="1:11" s="129" customFormat="1" ht="12.75">
      <c r="A32" s="151"/>
      <c r="B32" s="161" t="s">
        <v>512</v>
      </c>
      <c r="C32" s="161"/>
      <c r="D32" s="156">
        <f>SUM(D33:D35)</f>
        <v>0</v>
      </c>
      <c r="E32" s="156">
        <f aca="true" t="shared" si="5" ref="E32:K32">SUM(E33:E35)</f>
        <v>0</v>
      </c>
      <c r="F32" s="156">
        <f t="shared" si="5"/>
        <v>0</v>
      </c>
      <c r="G32" s="156">
        <f t="shared" si="5"/>
        <v>13000</v>
      </c>
      <c r="H32" s="156">
        <f t="shared" si="5"/>
        <v>13000</v>
      </c>
      <c r="I32" s="156">
        <f t="shared" si="5"/>
        <v>0</v>
      </c>
      <c r="J32" s="156"/>
      <c r="K32" s="156">
        <f t="shared" si="5"/>
        <v>0</v>
      </c>
    </row>
    <row r="33" spans="1:11" ht="12.75">
      <c r="A33" s="110"/>
      <c r="B33" s="111"/>
      <c r="C33" s="111" t="s">
        <v>594</v>
      </c>
      <c r="D33" s="140"/>
      <c r="E33" s="140"/>
      <c r="F33" s="140">
        <f>9500-9500</f>
        <v>0</v>
      </c>
      <c r="G33" s="140">
        <v>5000</v>
      </c>
      <c r="H33" s="140">
        <f>20000-15000</f>
        <v>5000</v>
      </c>
      <c r="I33" s="140"/>
      <c r="J33" s="140"/>
      <c r="K33" s="145"/>
    </row>
    <row r="34" spans="1:11" ht="12.75">
      <c r="A34" s="110"/>
      <c r="B34" s="111"/>
      <c r="C34" s="111" t="s">
        <v>524</v>
      </c>
      <c r="D34" s="140"/>
      <c r="E34" s="140"/>
      <c r="F34" s="140"/>
      <c r="G34" s="140">
        <f>10000-2000</f>
        <v>8000</v>
      </c>
      <c r="H34" s="140">
        <f>10000-2000</f>
        <v>8000</v>
      </c>
      <c r="I34" s="140"/>
      <c r="J34" s="140"/>
      <c r="K34" s="145"/>
    </row>
    <row r="35" spans="1:11" ht="12.75" hidden="1">
      <c r="A35" s="110"/>
      <c r="B35" s="111"/>
      <c r="C35" s="111" t="s">
        <v>592</v>
      </c>
      <c r="D35" s="140"/>
      <c r="E35" s="140"/>
      <c r="F35" s="140"/>
      <c r="G35" s="140"/>
      <c r="H35" s="140"/>
      <c r="I35" s="140"/>
      <c r="J35" s="140"/>
      <c r="K35" s="145"/>
    </row>
    <row r="36" spans="1:11" s="129" customFormat="1" ht="12.75">
      <c r="A36" s="151"/>
      <c r="B36" s="161" t="s">
        <v>513</v>
      </c>
      <c r="C36" s="161"/>
      <c r="D36" s="156">
        <f>SUM(D37:D38)</f>
        <v>0</v>
      </c>
      <c r="E36" s="156">
        <f aca="true" t="shared" si="6" ref="E36:K36">SUM(E37:E38)</f>
        <v>7000</v>
      </c>
      <c r="F36" s="156">
        <f t="shared" si="6"/>
        <v>2000</v>
      </c>
      <c r="G36" s="156">
        <f t="shared" si="6"/>
        <v>31000</v>
      </c>
      <c r="H36" s="156">
        <f t="shared" si="6"/>
        <v>35000</v>
      </c>
      <c r="I36" s="156">
        <f t="shared" si="6"/>
        <v>0</v>
      </c>
      <c r="J36" s="156"/>
      <c r="K36" s="156">
        <f t="shared" si="6"/>
        <v>0</v>
      </c>
    </row>
    <row r="37" spans="1:11" ht="12.75">
      <c r="A37" s="110"/>
      <c r="B37" s="111"/>
      <c r="C37" s="111" t="s">
        <v>604</v>
      </c>
      <c r="D37" s="140"/>
      <c r="E37" s="140">
        <v>6000</v>
      </c>
      <c r="F37" s="140">
        <f>5000-3000</f>
        <v>2000</v>
      </c>
      <c r="G37" s="140">
        <f>40000-15000-14000</f>
        <v>11000</v>
      </c>
      <c r="H37" s="140">
        <f>40000+20000-30000</f>
        <v>30000</v>
      </c>
      <c r="I37" s="140"/>
      <c r="J37" s="140"/>
      <c r="K37" s="145"/>
    </row>
    <row r="38" spans="1:11" ht="12.75">
      <c r="A38" s="110"/>
      <c r="B38" s="111"/>
      <c r="C38" s="111" t="s">
        <v>527</v>
      </c>
      <c r="D38" s="140"/>
      <c r="E38" s="140">
        <f>2000-1000</f>
        <v>1000</v>
      </c>
      <c r="F38" s="140"/>
      <c r="G38" s="140">
        <f>15000+5000</f>
        <v>20000</v>
      </c>
      <c r="H38" s="140">
        <v>5000</v>
      </c>
      <c r="I38" s="140"/>
      <c r="J38" s="140"/>
      <c r="K38" s="145"/>
    </row>
    <row r="39" spans="1:11" s="129" customFormat="1" ht="13.5">
      <c r="A39" s="151"/>
      <c r="B39" s="161" t="s">
        <v>603</v>
      </c>
      <c r="C39" s="161"/>
      <c r="D39" s="156"/>
      <c r="E39" s="156">
        <v>28000</v>
      </c>
      <c r="F39" s="156">
        <v>24000</v>
      </c>
      <c r="G39" s="156">
        <v>145000</v>
      </c>
      <c r="H39" s="156">
        <v>123000</v>
      </c>
      <c r="I39" s="156"/>
      <c r="J39" s="156"/>
      <c r="K39" s="157"/>
    </row>
    <row r="40" spans="1:11" s="129" customFormat="1" ht="13.5">
      <c r="A40" s="151"/>
      <c r="B40" s="161"/>
      <c r="C40" s="333" t="s">
        <v>648</v>
      </c>
      <c r="D40" s="156"/>
      <c r="E40" s="156"/>
      <c r="F40" s="156"/>
      <c r="G40" s="156"/>
      <c r="H40" s="156"/>
      <c r="I40" s="156"/>
      <c r="J40" s="156"/>
      <c r="K40" s="157"/>
    </row>
    <row r="41" spans="1:11" s="129" customFormat="1" ht="13.5">
      <c r="A41" s="151"/>
      <c r="B41" s="161" t="s">
        <v>51</v>
      </c>
      <c r="C41" s="161"/>
      <c r="D41" s="156"/>
      <c r="E41" s="156">
        <v>500</v>
      </c>
      <c r="F41" s="156">
        <v>600</v>
      </c>
      <c r="G41" s="156">
        <v>600</v>
      </c>
      <c r="H41" s="156">
        <v>1000</v>
      </c>
      <c r="I41" s="156"/>
      <c r="J41" s="156"/>
      <c r="K41" s="157"/>
    </row>
    <row r="42" spans="1:11" s="129" customFormat="1" ht="13.5">
      <c r="A42" s="151"/>
      <c r="B42" s="164" t="s">
        <v>52</v>
      </c>
      <c r="C42" s="164"/>
      <c r="D42" s="156"/>
      <c r="E42" s="156"/>
      <c r="F42" s="156"/>
      <c r="G42" s="156"/>
      <c r="H42" s="156"/>
      <c r="I42" s="156"/>
      <c r="J42" s="156"/>
      <c r="K42" s="157"/>
    </row>
    <row r="43" spans="1:11" s="129" customFormat="1" ht="12.75">
      <c r="A43" s="151"/>
      <c r="B43" s="152" t="s">
        <v>53</v>
      </c>
      <c r="C43" s="153"/>
      <c r="D43" s="170">
        <f>SUM(D44:D45)</f>
        <v>0</v>
      </c>
      <c r="E43" s="170">
        <f>SUM(E44:E45)</f>
        <v>4000</v>
      </c>
      <c r="F43" s="170">
        <f>SUM(F44:F45)</f>
        <v>4000</v>
      </c>
      <c r="G43" s="170">
        <f>SUM(G44:G45)</f>
        <v>52000</v>
      </c>
      <c r="H43" s="170">
        <f>SUM(H44:H45)</f>
        <v>36000</v>
      </c>
      <c r="I43" s="170"/>
      <c r="J43" s="170"/>
      <c r="K43" s="170">
        <f>SUM(K44:K45)</f>
        <v>4000</v>
      </c>
    </row>
    <row r="44" spans="1:11" ht="12.75">
      <c r="A44" s="110"/>
      <c r="B44" s="166"/>
      <c r="C44" s="123" t="s">
        <v>528</v>
      </c>
      <c r="D44" s="229"/>
      <c r="E44" s="140"/>
      <c r="F44" s="140"/>
      <c r="G44" s="140">
        <v>22000</v>
      </c>
      <c r="H44" s="140">
        <v>21000</v>
      </c>
      <c r="I44" s="140"/>
      <c r="J44" s="140"/>
      <c r="K44" s="145"/>
    </row>
    <row r="45" spans="1:11" ht="13.5" thickBot="1">
      <c r="A45" s="110"/>
      <c r="B45" s="166"/>
      <c r="C45" s="123" t="s">
        <v>529</v>
      </c>
      <c r="D45" s="229"/>
      <c r="E45" s="140">
        <v>4000</v>
      </c>
      <c r="F45" s="140">
        <v>4000</v>
      </c>
      <c r="G45" s="140">
        <v>30000</v>
      </c>
      <c r="H45" s="140">
        <v>15000</v>
      </c>
      <c r="I45" s="140"/>
      <c r="J45" s="140"/>
      <c r="K45" s="145">
        <f>2000+2000</f>
        <v>4000</v>
      </c>
    </row>
    <row r="46" spans="1:11" s="129" customFormat="1" ht="13.5" thickBot="1">
      <c r="A46" s="169" t="s">
        <v>536</v>
      </c>
      <c r="B46" s="108"/>
      <c r="C46" s="108"/>
      <c r="D46" s="138">
        <f aca="true" t="shared" si="7" ref="D46:K46">SUM(D47:D48)</f>
        <v>0</v>
      </c>
      <c r="E46" s="138">
        <f t="shared" si="7"/>
        <v>0</v>
      </c>
      <c r="F46" s="138">
        <f t="shared" si="7"/>
        <v>0</v>
      </c>
      <c r="G46" s="138">
        <f t="shared" si="7"/>
        <v>0</v>
      </c>
      <c r="H46" s="138">
        <f t="shared" si="7"/>
        <v>0</v>
      </c>
      <c r="I46" s="138">
        <f t="shared" si="7"/>
        <v>488960</v>
      </c>
      <c r="J46" s="138">
        <f t="shared" si="7"/>
        <v>148114</v>
      </c>
      <c r="K46" s="248">
        <f t="shared" si="7"/>
        <v>12200</v>
      </c>
    </row>
    <row r="47" spans="1:14" ht="12.75">
      <c r="A47" s="119" t="s">
        <v>54</v>
      </c>
      <c r="B47" s="119"/>
      <c r="C47" s="119"/>
      <c r="D47" s="139"/>
      <c r="E47" s="139"/>
      <c r="F47" s="139"/>
      <c r="G47" s="139"/>
      <c r="H47" s="139"/>
      <c r="I47" s="139">
        <f>(48900*1.1)*4+(48900*5)+14000+15300</f>
        <v>488960</v>
      </c>
      <c r="J47" s="139">
        <f>OV!E51</f>
        <v>15912</v>
      </c>
      <c r="K47" s="144">
        <v>12200</v>
      </c>
      <c r="N47" s="332"/>
    </row>
    <row r="48" spans="1:11" ht="12.75">
      <c r="A48" s="111" t="s">
        <v>699</v>
      </c>
      <c r="B48" s="125"/>
      <c r="C48" s="119"/>
      <c r="D48" s="140"/>
      <c r="E48" s="140"/>
      <c r="F48" s="140"/>
      <c r="G48" s="140"/>
      <c r="H48" s="140"/>
      <c r="I48" s="140"/>
      <c r="J48" s="140">
        <f>OV!E50</f>
        <v>132202</v>
      </c>
      <c r="K48" s="145"/>
    </row>
    <row r="49" spans="1:11" ht="13.5" thickBot="1">
      <c r="A49" s="111" t="s">
        <v>700</v>
      </c>
      <c r="B49" s="126"/>
      <c r="C49" s="111"/>
      <c r="D49" s="140"/>
      <c r="E49" s="140"/>
      <c r="F49" s="140"/>
      <c r="G49" s="140"/>
      <c r="H49" s="140"/>
      <c r="I49" s="140"/>
      <c r="J49" s="140">
        <f>OV!E52</f>
        <v>423246</v>
      </c>
      <c r="K49" s="145"/>
    </row>
    <row r="50" spans="1:11" s="129" customFormat="1" ht="14.25" thickBot="1">
      <c r="A50" s="108" t="s">
        <v>530</v>
      </c>
      <c r="B50" s="109"/>
      <c r="C50" s="108"/>
      <c r="D50" s="138"/>
      <c r="E50" s="142"/>
      <c r="F50" s="142"/>
      <c r="G50" s="142"/>
      <c r="H50" s="138">
        <f>20000-20000</f>
        <v>0</v>
      </c>
      <c r="I50" s="138"/>
      <c r="J50" s="138"/>
      <c r="K50" s="168"/>
    </row>
    <row r="51" spans="1:11" s="129" customFormat="1" ht="13.5" hidden="1" thickBot="1">
      <c r="A51" s="169" t="s">
        <v>531</v>
      </c>
      <c r="B51" s="109"/>
      <c r="C51" s="108"/>
      <c r="D51" s="138">
        <f>SUM(D52:D53)</f>
        <v>0</v>
      </c>
      <c r="E51" s="138">
        <f aca="true" t="shared" si="8" ref="E51:K51">SUM(E52:E53)</f>
        <v>0</v>
      </c>
      <c r="F51" s="138">
        <f t="shared" si="8"/>
        <v>0</v>
      </c>
      <c r="G51" s="138">
        <f t="shared" si="8"/>
        <v>0</v>
      </c>
      <c r="H51" s="138">
        <f t="shared" si="8"/>
        <v>0</v>
      </c>
      <c r="I51" s="138">
        <f t="shared" si="8"/>
        <v>0</v>
      </c>
      <c r="J51" s="138"/>
      <c r="K51" s="138">
        <f t="shared" si="8"/>
        <v>0</v>
      </c>
    </row>
    <row r="52" spans="1:11" ht="12.75" hidden="1">
      <c r="A52" s="110" t="s">
        <v>532</v>
      </c>
      <c r="B52" s="127"/>
      <c r="C52" s="110"/>
      <c r="D52" s="149"/>
      <c r="E52" s="147"/>
      <c r="F52" s="147"/>
      <c r="G52" s="147"/>
      <c r="H52" s="147"/>
      <c r="I52" s="147"/>
      <c r="J52" s="147"/>
      <c r="K52" s="148"/>
    </row>
    <row r="53" spans="1:11" ht="13.5" hidden="1" thickBot="1">
      <c r="A53" s="110" t="s">
        <v>533</v>
      </c>
      <c r="B53" s="127"/>
      <c r="C53" s="110"/>
      <c r="D53" s="149"/>
      <c r="E53" s="147"/>
      <c r="F53" s="147"/>
      <c r="G53" s="147"/>
      <c r="H53" s="147"/>
      <c r="I53" s="147"/>
      <c r="J53" s="147"/>
      <c r="K53" s="148"/>
    </row>
    <row r="54" spans="1:11" ht="14.25" thickBot="1">
      <c r="A54" s="169" t="s">
        <v>601</v>
      </c>
      <c r="B54" s="108"/>
      <c r="C54" s="108"/>
      <c r="D54" s="138"/>
      <c r="E54" s="142"/>
      <c r="F54" s="142"/>
      <c r="G54" s="142"/>
      <c r="H54" s="138"/>
      <c r="I54" s="138"/>
      <c r="J54" s="138"/>
      <c r="K54" s="168"/>
    </row>
    <row r="55" spans="1:11" s="128" customFormat="1" ht="12.75" hidden="1">
      <c r="A55" s="110"/>
      <c r="C55" s="110"/>
      <c r="D55" s="133"/>
      <c r="E55" s="134"/>
      <c r="F55" s="134"/>
      <c r="G55" s="134"/>
      <c r="H55" s="134"/>
      <c r="I55" s="134"/>
      <c r="J55" s="134"/>
      <c r="K55" s="135"/>
    </row>
    <row r="58" spans="4:12" ht="12.75">
      <c r="D58" s="238"/>
      <c r="E58" s="238"/>
      <c r="F58" s="238"/>
      <c r="G58" s="238"/>
      <c r="H58" s="238"/>
      <c r="I58" s="238"/>
      <c r="J58" s="238"/>
      <c r="K58" s="238"/>
      <c r="L58" s="243"/>
    </row>
    <row r="59" spans="3:8" ht="12.75">
      <c r="C59" s="244" t="s">
        <v>645</v>
      </c>
      <c r="E59" s="93">
        <v>22</v>
      </c>
      <c r="F59" s="93">
        <v>22</v>
      </c>
      <c r="G59" s="93">
        <v>119</v>
      </c>
      <c r="H59" s="93">
        <v>101</v>
      </c>
    </row>
    <row r="60" spans="3:8" ht="12.75">
      <c r="C60" s="244" t="s">
        <v>647</v>
      </c>
      <c r="E60" s="332">
        <f>(E2-E39-E43-tulud!I18*1000)/E59</f>
        <v>17890.359090909093</v>
      </c>
      <c r="F60" s="332">
        <f>(F2-F39-F43-tulud!I21*1000)/F59</f>
        <v>16663.545454545456</v>
      </c>
      <c r="G60" s="332">
        <f>(G2+'KULT,SP'!K2-tulud!I25*1000)/G59</f>
        <v>11536.526344537815</v>
      </c>
      <c r="H60" s="332">
        <f>H2/H59</f>
        <v>10163.617425742574</v>
      </c>
    </row>
    <row r="61" spans="3:8" ht="12.75">
      <c r="C61" s="244" t="s">
        <v>646</v>
      </c>
      <c r="E61" s="332">
        <f>E60/12</f>
        <v>1490.8632575757576</v>
      </c>
      <c r="F61" s="332">
        <f>F60/12</f>
        <v>1388.628787878788</v>
      </c>
      <c r="G61" s="332">
        <f>G60/12</f>
        <v>961.3771953781512</v>
      </c>
      <c r="H61" s="332">
        <f>H60/12</f>
        <v>846.9681188118811</v>
      </c>
    </row>
  </sheetData>
  <printOptions/>
  <pageMargins left="0.15748031496062992" right="0.15748031496062992" top="0.5905511811023623" bottom="0.1968503937007874" header="0.31496062992125984" footer="0.11811023622047245"/>
  <pageSetup horizontalDpi="300" verticalDpi="300" orientation="portrait" paperSize="9" scale="95" r:id="rId1"/>
  <headerFooter alignWithMargins="0">
    <oddHeader>&amp;R&amp;D&amp;D&amp;T&amp;T&amp;F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8"/>
  <sheetViews>
    <sheetView workbookViewId="0" topLeftCell="A3">
      <pane xSplit="1" ySplit="3" topLeftCell="B12" activePane="bottomRight" state="frozen"/>
      <selection pane="topLeft" activeCell="A3" sqref="A3"/>
      <selection pane="topRight" activeCell="B3" sqref="B3"/>
      <selection pane="bottomLeft" activeCell="A6" sqref="A6"/>
      <selection pane="bottomRight" activeCell="A3" sqref="A1:IV16384"/>
    </sheetView>
  </sheetViews>
  <sheetFormatPr defaultColWidth="9.140625" defaultRowHeight="12.75"/>
  <cols>
    <col min="1" max="1" width="8.421875" style="1" customWidth="1"/>
    <col min="2" max="2" width="4.8515625" style="1" customWidth="1"/>
    <col min="3" max="4" width="4.421875" style="1" customWidth="1"/>
    <col min="5" max="5" width="9.140625" style="1" customWidth="1"/>
    <col min="6" max="6" width="31.7109375" style="1" customWidth="1"/>
    <col min="7" max="7" width="10.140625" style="63" customWidth="1"/>
    <col min="8" max="8" width="12.140625" style="1" customWidth="1"/>
    <col min="9" max="9" width="12.00390625" style="1" hidden="1" customWidth="1"/>
    <col min="10" max="10" width="6.00390625" style="1" customWidth="1"/>
    <col min="11" max="11" width="4.7109375" style="1" customWidth="1"/>
    <col min="12" max="16384" width="9.140625" style="1" customWidth="1"/>
  </cols>
  <sheetData>
    <row r="1" spans="1:8" ht="18.75">
      <c r="A1" s="47" t="s">
        <v>435</v>
      </c>
      <c r="H1" s="73" t="s">
        <v>436</v>
      </c>
    </row>
    <row r="2" ht="3.75" customHeight="1"/>
    <row r="3" spans="1:10" ht="12" customHeight="1" thickBot="1">
      <c r="A3" s="74" t="s">
        <v>442</v>
      </c>
      <c r="F3" s="62" t="s">
        <v>443</v>
      </c>
      <c r="H3" s="1" t="s">
        <v>376</v>
      </c>
      <c r="J3" s="75">
        <v>2002</v>
      </c>
    </row>
    <row r="4" spans="1:11" ht="13.5" thickBot="1">
      <c r="A4" s="14">
        <v>4</v>
      </c>
      <c r="B4" s="42" t="s">
        <v>448</v>
      </c>
      <c r="C4" s="15"/>
      <c r="D4" s="16"/>
      <c r="E4" s="15"/>
      <c r="F4" s="15"/>
      <c r="G4" s="82">
        <f>G5+G13+G22+G26+G30+G32+G47+G64+G74+G78</f>
        <v>13388.399000000001</v>
      </c>
      <c r="H4" s="83">
        <f>H5+H13+H22+H26+H30+H32+H47+H64+H74+H78</f>
        <v>6179.06</v>
      </c>
      <c r="I4" s="30" t="e">
        <f>I5++I13+I22+I26+I30+I32+I47+I64+I74+I78</f>
        <v>#REF!</v>
      </c>
      <c r="J4" s="4"/>
      <c r="K4" s="4"/>
    </row>
    <row r="5" spans="1:10" ht="12" thickBot="1">
      <c r="A5" s="25">
        <v>401</v>
      </c>
      <c r="B5" s="15" t="s">
        <v>96</v>
      </c>
      <c r="C5" s="15"/>
      <c r="D5" s="26"/>
      <c r="E5" s="26"/>
      <c r="F5" s="27"/>
      <c r="G5" s="64">
        <f>SUM(G6:G12)</f>
        <v>1180.74</v>
      </c>
      <c r="H5" s="31">
        <f>SUM(H6:H12)</f>
        <v>792.4000000000001</v>
      </c>
      <c r="I5" s="31" t="e">
        <f>SUM(I6:I12)-#REF!</f>
        <v>#REF!</v>
      </c>
      <c r="J5" s="1">
        <f>1077+97</f>
        <v>1174</v>
      </c>
    </row>
    <row r="6" spans="1:9" ht="11.25">
      <c r="A6" s="8" t="s">
        <v>101</v>
      </c>
      <c r="B6" s="3" t="s">
        <v>66</v>
      </c>
      <c r="C6" s="3"/>
      <c r="D6" s="19"/>
      <c r="E6" s="19"/>
      <c r="F6" s="23"/>
      <c r="G6" s="65">
        <v>53</v>
      </c>
      <c r="H6" s="32">
        <v>32</v>
      </c>
      <c r="I6" s="33"/>
    </row>
    <row r="7" spans="1:9" ht="11.25">
      <c r="A7" s="8" t="s">
        <v>102</v>
      </c>
      <c r="B7" s="3" t="s">
        <v>67</v>
      </c>
      <c r="C7" s="3"/>
      <c r="D7" s="19"/>
      <c r="E7" s="19"/>
      <c r="F7" s="23"/>
      <c r="G7" s="65">
        <f>615-12</f>
        <v>603</v>
      </c>
      <c r="H7" s="32">
        <v>429.8</v>
      </c>
      <c r="I7" s="33"/>
    </row>
    <row r="8" spans="1:9" ht="11.25">
      <c r="A8" s="8" t="s">
        <v>103</v>
      </c>
      <c r="B8" s="3" t="s">
        <v>439</v>
      </c>
      <c r="C8" s="3"/>
      <c r="D8" s="19"/>
      <c r="E8" s="19"/>
      <c r="F8" s="23"/>
      <c r="G8" s="65">
        <f>121-32.5-7</f>
        <v>81.5</v>
      </c>
      <c r="H8" s="32">
        <f>48-7</f>
        <v>41</v>
      </c>
      <c r="I8" s="33"/>
    </row>
    <row r="9" spans="1:9" ht="11.25">
      <c r="A9" s="8" t="s">
        <v>255</v>
      </c>
      <c r="B9" s="3" t="s">
        <v>65</v>
      </c>
      <c r="C9" s="3"/>
      <c r="D9" s="19"/>
      <c r="E9" s="19"/>
      <c r="F9" s="23"/>
      <c r="G9" s="65">
        <v>97.24</v>
      </c>
      <c r="H9" s="34"/>
      <c r="I9" s="35"/>
    </row>
    <row r="10" spans="1:9" ht="11.25">
      <c r="A10" s="8" t="s">
        <v>437</v>
      </c>
      <c r="B10" s="3" t="s">
        <v>438</v>
      </c>
      <c r="C10" s="3"/>
      <c r="D10" s="19"/>
      <c r="E10" s="19"/>
      <c r="F10" s="23"/>
      <c r="G10" s="65">
        <v>318</v>
      </c>
      <c r="H10" s="32">
        <v>289.6</v>
      </c>
      <c r="I10" s="33"/>
    </row>
    <row r="11" spans="1:9" ht="11.25" hidden="1">
      <c r="A11" s="8" t="s">
        <v>109</v>
      </c>
      <c r="B11" s="3" t="s">
        <v>110</v>
      </c>
      <c r="C11" s="3"/>
      <c r="D11" s="19"/>
      <c r="E11" s="19"/>
      <c r="F11" s="23"/>
      <c r="G11" s="65"/>
      <c r="H11" s="32"/>
      <c r="I11" s="33"/>
    </row>
    <row r="12" spans="1:10" ht="12" thickBot="1">
      <c r="A12" s="20" t="s">
        <v>111</v>
      </c>
      <c r="B12" s="21" t="s">
        <v>112</v>
      </c>
      <c r="C12" s="21"/>
      <c r="D12" s="22"/>
      <c r="E12" s="22"/>
      <c r="F12" s="24"/>
      <c r="G12" s="66">
        <v>28</v>
      </c>
      <c r="H12" s="36"/>
      <c r="I12" s="37"/>
      <c r="J12" s="62"/>
    </row>
    <row r="13" spans="1:10" ht="12" thickBot="1">
      <c r="A13" s="25">
        <v>404</v>
      </c>
      <c r="B13" s="15" t="s">
        <v>97</v>
      </c>
      <c r="C13" s="26"/>
      <c r="D13" s="26"/>
      <c r="E13" s="26"/>
      <c r="F13" s="27"/>
      <c r="G13" s="67">
        <f>SUM(G14:G21)</f>
        <v>1224</v>
      </c>
      <c r="H13" s="31">
        <f>SUM(H14:H21)</f>
        <v>714.6</v>
      </c>
      <c r="I13" s="31">
        <f>SUM(I14:I21)</f>
        <v>0</v>
      </c>
      <c r="J13" s="1">
        <v>1335</v>
      </c>
    </row>
    <row r="14" spans="1:9" ht="11.25">
      <c r="A14" s="8" t="s">
        <v>256</v>
      </c>
      <c r="B14" s="3" t="s">
        <v>258</v>
      </c>
      <c r="C14" s="19"/>
      <c r="D14" s="19"/>
      <c r="E14" s="19"/>
      <c r="F14" s="23"/>
      <c r="G14" s="68">
        <v>313</v>
      </c>
      <c r="H14" s="32">
        <v>231.8</v>
      </c>
      <c r="I14" s="38"/>
    </row>
    <row r="15" spans="1:9" ht="11.25" hidden="1">
      <c r="A15" s="8" t="s">
        <v>122</v>
      </c>
      <c r="B15" s="3" t="s">
        <v>123</v>
      </c>
      <c r="C15" s="19"/>
      <c r="D15" s="19"/>
      <c r="E15" s="19"/>
      <c r="F15" s="23"/>
      <c r="G15" s="65"/>
      <c r="H15" s="32"/>
      <c r="I15" s="38"/>
    </row>
    <row r="16" spans="1:9" ht="11.25">
      <c r="A16" s="8" t="s">
        <v>124</v>
      </c>
      <c r="B16" s="3" t="s">
        <v>267</v>
      </c>
      <c r="C16" s="19"/>
      <c r="D16" s="19"/>
      <c r="E16" s="19"/>
      <c r="F16" s="23"/>
      <c r="G16" s="68">
        <v>479</v>
      </c>
      <c r="H16" s="32">
        <v>359.3</v>
      </c>
      <c r="I16" s="38"/>
    </row>
    <row r="17" spans="1:9" ht="11.25">
      <c r="A17" s="8" t="s">
        <v>125</v>
      </c>
      <c r="B17" s="3" t="s">
        <v>70</v>
      </c>
      <c r="C17" s="19"/>
      <c r="D17" s="19"/>
      <c r="E17" s="19"/>
      <c r="F17" s="23"/>
      <c r="G17" s="68">
        <f>59+150</f>
        <v>209</v>
      </c>
      <c r="H17" s="32">
        <v>9</v>
      </c>
      <c r="I17" s="38"/>
    </row>
    <row r="18" spans="1:9" ht="11.25">
      <c r="A18" s="8" t="s">
        <v>138</v>
      </c>
      <c r="B18" s="3" t="s">
        <v>139</v>
      </c>
      <c r="C18" s="19"/>
      <c r="D18" s="19"/>
      <c r="E18" s="19"/>
      <c r="F18" s="23"/>
      <c r="G18" s="68">
        <v>12</v>
      </c>
      <c r="H18" s="32"/>
      <c r="I18" s="38"/>
    </row>
    <row r="19" spans="1:9" ht="11.25">
      <c r="A19" s="8" t="s">
        <v>140</v>
      </c>
      <c r="B19" s="3" t="s">
        <v>141</v>
      </c>
      <c r="C19" s="19"/>
      <c r="D19" s="19"/>
      <c r="E19" s="19"/>
      <c r="F19" s="23"/>
      <c r="G19" s="65">
        <v>70</v>
      </c>
      <c r="H19" s="32"/>
      <c r="I19" s="38"/>
    </row>
    <row r="20" spans="1:9" ht="12" thickBot="1">
      <c r="A20" s="8" t="s">
        <v>142</v>
      </c>
      <c r="B20" s="3" t="s">
        <v>143</v>
      </c>
      <c r="C20" s="19"/>
      <c r="D20" s="19"/>
      <c r="E20" s="19"/>
      <c r="F20" s="23"/>
      <c r="G20" s="68">
        <v>141</v>
      </c>
      <c r="H20" s="32">
        <v>114.5</v>
      </c>
      <c r="I20" s="38"/>
    </row>
    <row r="21" spans="1:9" ht="12" hidden="1" thickBot="1">
      <c r="A21" s="8"/>
      <c r="B21" s="3" t="s">
        <v>268</v>
      </c>
      <c r="C21" s="19"/>
      <c r="D21" s="19"/>
      <c r="E21" s="19"/>
      <c r="F21" s="23"/>
      <c r="G21" s="65"/>
      <c r="H21" s="32"/>
      <c r="I21" s="38"/>
    </row>
    <row r="22" spans="1:9" ht="12" thickBot="1">
      <c r="A22" s="25">
        <v>405</v>
      </c>
      <c r="B22" s="15" t="s">
        <v>71</v>
      </c>
      <c r="C22" s="26"/>
      <c r="D22" s="26"/>
      <c r="E22" s="26"/>
      <c r="F22" s="27"/>
      <c r="G22" s="67">
        <f>SUM(G23:G25)</f>
        <v>151</v>
      </c>
      <c r="H22" s="31">
        <f>SUM(H23:H25)</f>
        <v>21.6</v>
      </c>
      <c r="I22" s="31">
        <f>SUM(I23:I25)</f>
        <v>0</v>
      </c>
    </row>
    <row r="23" spans="1:9" ht="11.25">
      <c r="A23" s="8" t="s">
        <v>244</v>
      </c>
      <c r="B23" s="3" t="s">
        <v>245</v>
      </c>
      <c r="C23" s="19"/>
      <c r="D23" s="19"/>
      <c r="E23" s="19"/>
      <c r="F23" s="23"/>
      <c r="G23" s="68">
        <v>4</v>
      </c>
      <c r="H23" s="32"/>
      <c r="I23" s="38"/>
    </row>
    <row r="24" spans="1:9" ht="11.25">
      <c r="A24" s="8" t="s">
        <v>246</v>
      </c>
      <c r="B24" s="28" t="s">
        <v>247</v>
      </c>
      <c r="C24" s="19"/>
      <c r="D24" s="19"/>
      <c r="E24" s="19"/>
      <c r="F24" s="23"/>
      <c r="G24" s="68">
        <v>47</v>
      </c>
      <c r="H24" s="32">
        <v>21.6</v>
      </c>
      <c r="I24" s="38"/>
    </row>
    <row r="25" spans="1:9" ht="12" thickBot="1">
      <c r="A25" s="20"/>
      <c r="B25" s="21" t="s">
        <v>419</v>
      </c>
      <c r="C25" s="22"/>
      <c r="D25" s="22"/>
      <c r="E25" s="22"/>
      <c r="F25" s="24"/>
      <c r="G25" s="69">
        <v>100</v>
      </c>
      <c r="H25" s="36"/>
      <c r="I25" s="39"/>
    </row>
    <row r="26" spans="1:9" ht="12" thickBot="1">
      <c r="A26" s="25">
        <v>406</v>
      </c>
      <c r="B26" s="15" t="s">
        <v>72</v>
      </c>
      <c r="C26" s="26"/>
      <c r="D26" s="26"/>
      <c r="E26" s="26"/>
      <c r="F26" s="27"/>
      <c r="G26" s="67">
        <f>SUM(G27:G29)</f>
        <v>293</v>
      </c>
      <c r="H26" s="31">
        <f>SUM(H27:H29)</f>
        <v>151.3</v>
      </c>
      <c r="I26" s="31">
        <f>SUM(I27:I29)</f>
        <v>0</v>
      </c>
    </row>
    <row r="27" spans="1:9" ht="11.25">
      <c r="A27" s="8" t="s">
        <v>147</v>
      </c>
      <c r="B27" s="3" t="s">
        <v>148</v>
      </c>
      <c r="C27" s="19"/>
      <c r="D27" s="19"/>
      <c r="E27" s="19"/>
      <c r="F27" s="23"/>
      <c r="G27" s="68">
        <v>207</v>
      </c>
      <c r="H27" s="32">
        <v>97.8</v>
      </c>
      <c r="I27" s="38"/>
    </row>
    <row r="28" spans="1:9" ht="11.25">
      <c r="A28" s="8" t="s">
        <v>149</v>
      </c>
      <c r="B28" s="3" t="s">
        <v>150</v>
      </c>
      <c r="C28" s="19"/>
      <c r="D28" s="19"/>
      <c r="E28" s="19"/>
      <c r="F28" s="23"/>
      <c r="G28" s="68">
        <v>19</v>
      </c>
      <c r="H28" s="32"/>
      <c r="I28" s="38"/>
    </row>
    <row r="29" spans="1:9" ht="12" thickBot="1">
      <c r="A29" s="8" t="s">
        <v>153</v>
      </c>
      <c r="B29" s="3" t="s">
        <v>248</v>
      </c>
      <c r="C29" s="19"/>
      <c r="D29" s="19"/>
      <c r="E29" s="19"/>
      <c r="F29" s="23"/>
      <c r="G29" s="68">
        <v>67</v>
      </c>
      <c r="H29" s="32">
        <v>53.5</v>
      </c>
      <c r="I29" s="38"/>
    </row>
    <row r="30" spans="1:10" ht="12" thickBot="1">
      <c r="A30" s="25">
        <v>407</v>
      </c>
      <c r="B30" s="15" t="s">
        <v>73</v>
      </c>
      <c r="C30" s="26"/>
      <c r="D30" s="26"/>
      <c r="E30" s="26"/>
      <c r="F30" s="27"/>
      <c r="G30" s="64">
        <f>SUM(G31:G31)</f>
        <v>26</v>
      </c>
      <c r="H30" s="31">
        <f>SUM(H31:H31)</f>
        <v>0</v>
      </c>
      <c r="I30" s="31">
        <f>SUM(I31:I31)</f>
        <v>0</v>
      </c>
      <c r="J30" s="1">
        <v>25</v>
      </c>
    </row>
    <row r="31" spans="1:9" ht="12" thickBot="1">
      <c r="A31" s="8" t="s">
        <v>372</v>
      </c>
      <c r="B31" s="3" t="s">
        <v>373</v>
      </c>
      <c r="C31" s="19"/>
      <c r="D31" s="19"/>
      <c r="E31" s="19"/>
      <c r="F31" s="23"/>
      <c r="G31" s="65">
        <v>26</v>
      </c>
      <c r="H31" s="32"/>
      <c r="I31" s="38"/>
    </row>
    <row r="32" spans="1:10" ht="12" thickBot="1">
      <c r="A32" s="25" t="s">
        <v>74</v>
      </c>
      <c r="B32" s="15" t="s">
        <v>451</v>
      </c>
      <c r="C32" s="26"/>
      <c r="D32" s="26"/>
      <c r="E32" s="26"/>
      <c r="F32" s="27"/>
      <c r="G32" s="67">
        <f>SUM(G33:G46)-G38</f>
        <v>1475.13</v>
      </c>
      <c r="H32" s="31">
        <f>SUM(H33:H46)-H38</f>
        <v>368.49999999999994</v>
      </c>
      <c r="I32" s="31">
        <f>SUM(I33:I46)-I38</f>
        <v>0</v>
      </c>
      <c r="J32" s="1">
        <f>440+366+500+109</f>
        <v>1415</v>
      </c>
    </row>
    <row r="33" spans="1:9" ht="11.25" hidden="1">
      <c r="A33" s="8" t="s">
        <v>166</v>
      </c>
      <c r="B33" s="3" t="s">
        <v>167</v>
      </c>
      <c r="C33" s="19"/>
      <c r="D33" s="19"/>
      <c r="E33" s="19"/>
      <c r="F33" s="23"/>
      <c r="G33" s="65"/>
      <c r="H33" s="32"/>
      <c r="I33" s="38"/>
    </row>
    <row r="34" spans="1:9" ht="11.25">
      <c r="A34" s="8" t="s">
        <v>168</v>
      </c>
      <c r="B34" s="3" t="s">
        <v>169</v>
      </c>
      <c r="C34" s="19"/>
      <c r="D34" s="19"/>
      <c r="E34" s="19"/>
      <c r="F34" s="23"/>
      <c r="G34" s="68">
        <f>374+500</f>
        <v>874</v>
      </c>
      <c r="H34" s="32">
        <v>134.2</v>
      </c>
      <c r="I34" s="38"/>
    </row>
    <row r="35" spans="1:9" ht="11.25">
      <c r="A35" s="8" t="s">
        <v>77</v>
      </c>
      <c r="B35" s="3" t="s">
        <v>76</v>
      </c>
      <c r="C35" s="19"/>
      <c r="D35" s="19"/>
      <c r="E35" s="19"/>
      <c r="F35" s="23">
        <f>10+3</f>
        <v>13</v>
      </c>
      <c r="G35" s="68">
        <f>(TOV!E6+TOV!E12)/1000</f>
        <v>109.53</v>
      </c>
      <c r="H35" s="61"/>
      <c r="I35" s="61"/>
    </row>
    <row r="36" spans="1:9" ht="11.25" hidden="1">
      <c r="A36" s="8" t="s">
        <v>173</v>
      </c>
      <c r="B36" s="3" t="s">
        <v>174</v>
      </c>
      <c r="C36" s="19"/>
      <c r="D36" s="19"/>
      <c r="E36" s="19"/>
      <c r="F36" s="23"/>
      <c r="G36" s="65"/>
      <c r="H36" s="32"/>
      <c r="I36" s="38"/>
    </row>
    <row r="37" spans="1:9" ht="11.25">
      <c r="A37" s="8" t="s">
        <v>177</v>
      </c>
      <c r="B37" s="3" t="s">
        <v>178</v>
      </c>
      <c r="C37" s="19"/>
      <c r="D37" s="19"/>
      <c r="E37" s="19"/>
      <c r="F37" s="23"/>
      <c r="G37" s="68">
        <v>10</v>
      </c>
      <c r="H37" s="32"/>
      <c r="I37" s="38"/>
    </row>
    <row r="38" spans="1:9" ht="11.25">
      <c r="A38" s="8" t="s">
        <v>78</v>
      </c>
      <c r="B38" s="3" t="s">
        <v>420</v>
      </c>
      <c r="C38" s="19"/>
      <c r="D38" s="19"/>
      <c r="E38" s="19"/>
      <c r="F38" s="23"/>
      <c r="G38" s="65">
        <f>SUM(G39:G41)</f>
        <v>313</v>
      </c>
      <c r="H38" s="32">
        <f>SUM(H39:H41)</f>
        <v>178.2</v>
      </c>
      <c r="I38" s="38"/>
    </row>
    <row r="39" spans="1:9" ht="11.25">
      <c r="A39" s="8" t="s">
        <v>413</v>
      </c>
      <c r="B39" s="3" t="s">
        <v>421</v>
      </c>
      <c r="C39" s="19"/>
      <c r="D39" s="19"/>
      <c r="E39" s="19"/>
      <c r="F39" s="23"/>
      <c r="G39" s="65">
        <v>101</v>
      </c>
      <c r="H39" s="32">
        <v>59.4</v>
      </c>
      <c r="I39" s="38"/>
    </row>
    <row r="40" spans="1:9" ht="10.5" customHeight="1">
      <c r="A40" s="8" t="s">
        <v>414</v>
      </c>
      <c r="B40" s="3" t="s">
        <v>422</v>
      </c>
      <c r="C40" s="19"/>
      <c r="D40" s="19"/>
      <c r="E40" s="19"/>
      <c r="F40" s="23"/>
      <c r="G40" s="65">
        <v>97</v>
      </c>
      <c r="H40" s="32">
        <v>59.4</v>
      </c>
      <c r="I40" s="38"/>
    </row>
    <row r="41" spans="1:9" ht="11.25">
      <c r="A41" s="8" t="s">
        <v>415</v>
      </c>
      <c r="B41" s="3" t="s">
        <v>423</v>
      </c>
      <c r="C41" s="19"/>
      <c r="D41" s="19"/>
      <c r="E41" s="19"/>
      <c r="F41" s="23"/>
      <c r="G41" s="65">
        <v>115</v>
      </c>
      <c r="H41" s="32">
        <v>59.4</v>
      </c>
      <c r="I41" s="38"/>
    </row>
    <row r="42" spans="1:9" ht="11.25">
      <c r="A42" s="8" t="s">
        <v>80</v>
      </c>
      <c r="B42" s="3" t="s">
        <v>93</v>
      </c>
      <c r="C42" s="19"/>
      <c r="D42" s="19"/>
      <c r="E42" s="19"/>
      <c r="F42" s="23"/>
      <c r="G42" s="65">
        <f>124-G44-G46+6.6</f>
        <v>41.96</v>
      </c>
      <c r="H42" s="32">
        <f>48.1-H46+8</f>
        <v>17.46</v>
      </c>
      <c r="I42" s="38"/>
    </row>
    <row r="43" spans="1:9" ht="12" customHeight="1">
      <c r="A43" s="8" t="s">
        <v>179</v>
      </c>
      <c r="B43" s="3" t="s">
        <v>180</v>
      </c>
      <c r="C43" s="19"/>
      <c r="D43" s="19"/>
      <c r="E43" s="19"/>
      <c r="F43" s="23"/>
      <c r="G43" s="65">
        <v>3</v>
      </c>
      <c r="H43" s="32"/>
      <c r="I43" s="38"/>
    </row>
    <row r="44" spans="1:9" ht="11.25">
      <c r="A44" s="8" t="s">
        <v>270</v>
      </c>
      <c r="B44" s="3" t="s">
        <v>271</v>
      </c>
      <c r="C44" s="19"/>
      <c r="D44" s="19"/>
      <c r="E44" s="19"/>
      <c r="F44" s="23"/>
      <c r="G44" s="65">
        <f>30+20</f>
        <v>50</v>
      </c>
      <c r="H44" s="32"/>
      <c r="I44" s="38"/>
    </row>
    <row r="45" spans="1:9" ht="11.25">
      <c r="A45" s="8" t="s">
        <v>195</v>
      </c>
      <c r="B45" s="3" t="s">
        <v>196</v>
      </c>
      <c r="C45" s="19"/>
      <c r="D45" s="19"/>
      <c r="E45" s="19"/>
      <c r="F45" s="23"/>
      <c r="G45" s="65">
        <v>35</v>
      </c>
      <c r="H45" s="32"/>
      <c r="I45" s="38"/>
    </row>
    <row r="46" spans="1:9" ht="12" thickBot="1">
      <c r="A46" s="8" t="s">
        <v>201</v>
      </c>
      <c r="B46" s="3" t="s">
        <v>272</v>
      </c>
      <c r="C46" s="19"/>
      <c r="D46" s="19"/>
      <c r="E46" s="19"/>
      <c r="F46" s="23"/>
      <c r="G46" s="65">
        <f>(2*12*1.335)+6.6</f>
        <v>38.64</v>
      </c>
      <c r="H46" s="32">
        <f>32.04+6.6</f>
        <v>38.64</v>
      </c>
      <c r="I46" s="38"/>
    </row>
    <row r="47" spans="1:11" ht="12" thickBot="1">
      <c r="A47" s="25">
        <v>409</v>
      </c>
      <c r="B47" s="15" t="s">
        <v>98</v>
      </c>
      <c r="C47" s="26"/>
      <c r="D47" s="26"/>
      <c r="E47" s="26"/>
      <c r="F47" s="27"/>
      <c r="G47" s="67">
        <f>SUM(G48:G63)-G48-G54</f>
        <v>6973.099000000002</v>
      </c>
      <c r="H47" s="31">
        <f>SUM(H48:H63)-H48-H54</f>
        <v>3754.8600000000006</v>
      </c>
      <c r="I47" s="31">
        <f>SUM(I48:I63)-I48-I54</f>
        <v>0</v>
      </c>
      <c r="J47" s="1">
        <f>3020+640+416+2466-109</f>
        <v>6433</v>
      </c>
      <c r="K47" s="90">
        <f>J47-G47</f>
        <v>-540.099000000002</v>
      </c>
    </row>
    <row r="48" spans="1:9" ht="11.25">
      <c r="A48" s="8" t="s">
        <v>81</v>
      </c>
      <c r="B48" s="3" t="s">
        <v>424</v>
      </c>
      <c r="C48" s="19"/>
      <c r="D48" s="19"/>
      <c r="E48" s="19"/>
      <c r="F48" s="23">
        <f>SUM(F50:F53)</f>
        <v>60</v>
      </c>
      <c r="G48" s="65">
        <f>SUM(G50:G53)</f>
        <v>1109.6390000000001</v>
      </c>
      <c r="H48" s="32">
        <f>SUM(H50:H53)</f>
        <v>558.9</v>
      </c>
      <c r="I48" s="38"/>
    </row>
    <row r="49" spans="1:9" ht="11.25">
      <c r="A49" s="8" t="s">
        <v>81</v>
      </c>
      <c r="B49" s="3" t="s">
        <v>446</v>
      </c>
      <c r="C49" s="19"/>
      <c r="D49" s="19"/>
      <c r="E49" s="19"/>
      <c r="F49" s="23"/>
      <c r="G49" s="65">
        <v>5</v>
      </c>
      <c r="H49" s="32"/>
      <c r="I49" s="38"/>
    </row>
    <row r="50" spans="1:9" ht="11.25">
      <c r="A50" s="8" t="s">
        <v>377</v>
      </c>
      <c r="B50" s="3" t="s">
        <v>425</v>
      </c>
      <c r="C50" s="19"/>
      <c r="D50" s="19"/>
      <c r="E50" s="19"/>
      <c r="F50" s="23">
        <v>23</v>
      </c>
      <c r="G50" s="65">
        <f>399+33</f>
        <v>432</v>
      </c>
      <c r="H50" s="32">
        <f>297.9+33</f>
        <v>330.9</v>
      </c>
      <c r="I50" s="38"/>
    </row>
    <row r="51" spans="1:9" ht="11.25">
      <c r="A51" s="8" t="s">
        <v>378</v>
      </c>
      <c r="B51" s="3" t="s">
        <v>426</v>
      </c>
      <c r="C51" s="19"/>
      <c r="D51" s="19"/>
      <c r="E51" s="19"/>
      <c r="F51" s="23">
        <v>18</v>
      </c>
      <c r="G51" s="65">
        <v>334</v>
      </c>
      <c r="H51" s="32">
        <v>228</v>
      </c>
      <c r="I51" s="38"/>
    </row>
    <row r="52" spans="1:9" ht="11.25">
      <c r="A52" s="8" t="s">
        <v>382</v>
      </c>
      <c r="B52" s="3" t="s">
        <v>427</v>
      </c>
      <c r="C52" s="19"/>
      <c r="D52" s="19"/>
      <c r="E52" s="19"/>
      <c r="F52" s="23">
        <f>9+1+6</f>
        <v>16</v>
      </c>
      <c r="G52" s="68">
        <f>(TOV!E5+TOV!E11+TOV!E17)/1000</f>
        <v>300.835</v>
      </c>
      <c r="H52" s="32"/>
      <c r="I52" s="38"/>
    </row>
    <row r="53" spans="1:9" ht="11.25">
      <c r="A53" s="8" t="s">
        <v>383</v>
      </c>
      <c r="B53" s="3" t="s">
        <v>428</v>
      </c>
      <c r="C53" s="19"/>
      <c r="D53" s="19"/>
      <c r="E53" s="19"/>
      <c r="F53" s="23">
        <v>3</v>
      </c>
      <c r="G53" s="68">
        <f>(TOV!E38+TOV!E39)/1000</f>
        <v>42.804</v>
      </c>
      <c r="H53" s="32"/>
      <c r="I53" s="38"/>
    </row>
    <row r="54" spans="1:9" ht="11.25">
      <c r="A54" s="8" t="s">
        <v>83</v>
      </c>
      <c r="B54" s="3" t="s">
        <v>429</v>
      </c>
      <c r="C54" s="19"/>
      <c r="D54" s="19"/>
      <c r="E54" s="19"/>
      <c r="F54" s="23">
        <f>SUM(F55:F59)</f>
        <v>330</v>
      </c>
      <c r="G54" s="65">
        <f>SUM(G55:G59)</f>
        <v>5357.072</v>
      </c>
      <c r="H54" s="32">
        <f>SUM(H55:H59)</f>
        <v>3155.96</v>
      </c>
      <c r="I54" s="32">
        <f>SUM(I55:I59)</f>
        <v>0</v>
      </c>
    </row>
    <row r="55" spans="1:9" ht="11.25">
      <c r="A55" s="8" t="s">
        <v>379</v>
      </c>
      <c r="B55" s="3" t="s">
        <v>430</v>
      </c>
      <c r="C55" s="19"/>
      <c r="D55" s="19"/>
      <c r="E55" s="19"/>
      <c r="F55" s="23">
        <v>127</v>
      </c>
      <c r="G55" s="65">
        <f>984+5.5+22.4</f>
        <v>1011.9</v>
      </c>
      <c r="H55" s="32">
        <f>379.4+5.5+22.4</f>
        <v>407.29999999999995</v>
      </c>
      <c r="I55" s="38"/>
    </row>
    <row r="56" spans="1:9" ht="11.25">
      <c r="A56" s="8" t="s">
        <v>379</v>
      </c>
      <c r="B56" s="3" t="s">
        <v>430</v>
      </c>
      <c r="C56" s="19"/>
      <c r="D56" s="19"/>
      <c r="E56" s="19"/>
      <c r="F56" s="23"/>
      <c r="G56" s="65">
        <v>416</v>
      </c>
      <c r="H56" s="32"/>
      <c r="I56" s="38"/>
    </row>
    <row r="57" spans="1:9" ht="11.25">
      <c r="A57" s="8" t="s">
        <v>380</v>
      </c>
      <c r="B57" s="3" t="s">
        <v>431</v>
      </c>
      <c r="C57" s="19"/>
      <c r="D57" s="19"/>
      <c r="E57" s="19"/>
      <c r="F57" s="23">
        <v>101</v>
      </c>
      <c r="G57" s="65">
        <f>891+14.4+5.5+36.5</f>
        <v>947.4</v>
      </c>
      <c r="H57" s="32">
        <f>324.3+36.5+5.5+14.4</f>
        <v>380.7</v>
      </c>
      <c r="I57" s="38"/>
    </row>
    <row r="58" spans="1:9" ht="11.25">
      <c r="A58" s="8" t="s">
        <v>83</v>
      </c>
      <c r="B58" s="3" t="s">
        <v>445</v>
      </c>
      <c r="C58" s="19"/>
      <c r="D58" s="19"/>
      <c r="E58" s="19"/>
      <c r="F58" s="23"/>
      <c r="G58" s="65">
        <v>2466</v>
      </c>
      <c r="H58" s="32">
        <v>2367.96</v>
      </c>
      <c r="I58" s="38"/>
    </row>
    <row r="59" spans="1:9" ht="11.25">
      <c r="A59" s="8" t="s">
        <v>381</v>
      </c>
      <c r="B59" s="3" t="s">
        <v>432</v>
      </c>
      <c r="C59" s="19"/>
      <c r="D59" s="19"/>
      <c r="E59" s="19"/>
      <c r="F59" s="23">
        <f>69+23+2+7+1</f>
        <v>102</v>
      </c>
      <c r="G59" s="68">
        <f>(TOV!E4+TOV!E10+TOV!E16+TOV!E21+TOV!E27+TOV!E28+TOV!E35)/1000</f>
        <v>515.772</v>
      </c>
      <c r="H59" s="32"/>
      <c r="I59" s="38"/>
    </row>
    <row r="60" spans="1:9" ht="11.25">
      <c r="A60" s="8" t="s">
        <v>85</v>
      </c>
      <c r="B60" s="3" t="s">
        <v>86</v>
      </c>
      <c r="C60" s="19"/>
      <c r="D60" s="19"/>
      <c r="E60" s="19"/>
      <c r="F60" s="23"/>
      <c r="G60" s="65">
        <f>438+9.388</f>
        <v>447.388</v>
      </c>
      <c r="H60" s="32"/>
      <c r="I60" s="38"/>
    </row>
    <row r="61" spans="1:9" ht="11.25">
      <c r="A61" s="8" t="s">
        <v>211</v>
      </c>
      <c r="B61" s="3" t="s">
        <v>212</v>
      </c>
      <c r="C61" s="19"/>
      <c r="D61" s="19"/>
      <c r="E61" s="19"/>
      <c r="F61" s="23"/>
      <c r="G61" s="65"/>
      <c r="H61" s="32"/>
      <c r="I61" s="38"/>
    </row>
    <row r="62" spans="1:9" ht="12" thickBot="1">
      <c r="A62" s="8" t="s">
        <v>213</v>
      </c>
      <c r="B62" s="3" t="s">
        <v>214</v>
      </c>
      <c r="C62" s="19"/>
      <c r="D62" s="19"/>
      <c r="E62" s="19"/>
      <c r="F62" s="23"/>
      <c r="G62" s="65">
        <v>54</v>
      </c>
      <c r="H62" s="32">
        <v>40</v>
      </c>
      <c r="I62" s="38"/>
    </row>
    <row r="63" spans="1:9" ht="12" hidden="1" thickBot="1">
      <c r="A63" s="20"/>
      <c r="B63" s="21" t="s">
        <v>269</v>
      </c>
      <c r="C63" s="22"/>
      <c r="D63" s="22"/>
      <c r="E63" s="22"/>
      <c r="F63" s="24"/>
      <c r="G63" s="70"/>
      <c r="H63" s="36"/>
      <c r="I63" s="39"/>
    </row>
    <row r="64" spans="1:10" ht="12" thickBot="1">
      <c r="A64" s="25">
        <v>410</v>
      </c>
      <c r="B64" s="15" t="s">
        <v>99</v>
      </c>
      <c r="C64" s="26"/>
      <c r="D64" s="26"/>
      <c r="E64" s="26"/>
      <c r="F64" s="27"/>
      <c r="G64" s="64">
        <f>SUM(G65:G72)</f>
        <v>1233.5</v>
      </c>
      <c r="H64" s="31">
        <f>SUM(H65:H72)</f>
        <v>375.79999999999995</v>
      </c>
      <c r="I64" s="31">
        <f>SUM(I65:I72)</f>
        <v>0</v>
      </c>
      <c r="J64" s="1">
        <f>729+471+36</f>
        <v>1236</v>
      </c>
    </row>
    <row r="65" spans="1:9" ht="11.25">
      <c r="A65" s="8" t="s">
        <v>440</v>
      </c>
      <c r="B65" s="3" t="s">
        <v>441</v>
      </c>
      <c r="C65" s="19"/>
      <c r="D65" s="19"/>
      <c r="E65" s="19"/>
      <c r="F65" s="23"/>
      <c r="G65" s="65">
        <f>126+24.6</f>
        <v>150.6</v>
      </c>
      <c r="H65" s="32">
        <v>54.8</v>
      </c>
      <c r="I65" s="38"/>
    </row>
    <row r="66" spans="1:9" ht="11.25">
      <c r="A66" s="8" t="s">
        <v>91</v>
      </c>
      <c r="B66" s="3" t="s">
        <v>90</v>
      </c>
      <c r="C66" s="19"/>
      <c r="D66" s="19"/>
      <c r="E66" s="19"/>
      <c r="F66" s="23"/>
      <c r="G66" s="65">
        <v>99</v>
      </c>
      <c r="H66" s="32">
        <v>96.1</v>
      </c>
      <c r="I66" s="38"/>
    </row>
    <row r="67" spans="1:9" ht="11.25">
      <c r="A67" s="8" t="s">
        <v>89</v>
      </c>
      <c r="B67" s="3" t="s">
        <v>92</v>
      </c>
      <c r="C67" s="19"/>
      <c r="D67" s="19"/>
      <c r="E67" s="19"/>
      <c r="F67" s="23"/>
      <c r="G67" s="65">
        <v>81</v>
      </c>
      <c r="H67" s="32"/>
      <c r="I67" s="38"/>
    </row>
    <row r="68" spans="1:9" ht="11.25">
      <c r="A68" s="8" t="s">
        <v>219</v>
      </c>
      <c r="B68" s="3" t="s">
        <v>264</v>
      </c>
      <c r="C68" s="19"/>
      <c r="D68" s="19"/>
      <c r="E68" s="19"/>
      <c r="F68" s="23"/>
      <c r="G68" s="65">
        <f>348-36.5-24.6-54.8</f>
        <v>232.09999999999997</v>
      </c>
      <c r="H68" s="32">
        <f>201.2-36.5-54.8-44.5</f>
        <v>65.39999999999999</v>
      </c>
      <c r="I68" s="38"/>
    </row>
    <row r="69" spans="1:9" ht="11.25" hidden="1">
      <c r="A69" s="8" t="s">
        <v>223</v>
      </c>
      <c r="B69" s="3" t="s">
        <v>224</v>
      </c>
      <c r="C69" s="19"/>
      <c r="D69" s="19"/>
      <c r="E69" s="19"/>
      <c r="F69" s="23"/>
      <c r="G69" s="65"/>
      <c r="H69" s="32"/>
      <c r="I69" s="38"/>
    </row>
    <row r="70" spans="1:9" ht="11.25">
      <c r="A70" s="8" t="s">
        <v>266</v>
      </c>
      <c r="B70" s="3" t="s">
        <v>226</v>
      </c>
      <c r="C70" s="19"/>
      <c r="D70" s="19"/>
      <c r="E70" s="19"/>
      <c r="F70" s="23"/>
      <c r="G70" s="65">
        <f>30+54.8</f>
        <v>84.8</v>
      </c>
      <c r="H70" s="32">
        <v>44.5</v>
      </c>
      <c r="I70" s="38"/>
    </row>
    <row r="71" spans="1:9" ht="11.25">
      <c r="A71" s="8" t="s">
        <v>236</v>
      </c>
      <c r="B71" s="3" t="s">
        <v>28</v>
      </c>
      <c r="C71" s="19"/>
      <c r="D71" s="19"/>
      <c r="E71" s="19"/>
      <c r="F71" s="23"/>
      <c r="G71" s="65">
        <f>628-157</f>
        <v>471</v>
      </c>
      <c r="H71" s="32"/>
      <c r="I71" s="38"/>
    </row>
    <row r="72" spans="1:9" ht="11.25">
      <c r="A72" s="8" t="s">
        <v>231</v>
      </c>
      <c r="B72" s="3" t="s">
        <v>232</v>
      </c>
      <c r="C72" s="19"/>
      <c r="D72" s="19"/>
      <c r="E72" s="19"/>
      <c r="F72" s="23"/>
      <c r="G72" s="65">
        <v>115</v>
      </c>
      <c r="H72" s="32">
        <v>115</v>
      </c>
      <c r="I72" s="38"/>
    </row>
    <row r="73" spans="1:9" s="89" customFormat="1" ht="12" thickBot="1">
      <c r="A73" s="84" t="s">
        <v>64</v>
      </c>
      <c r="B73" s="85"/>
      <c r="C73" s="86"/>
      <c r="D73" s="86"/>
      <c r="E73" s="86"/>
      <c r="F73" s="86"/>
      <c r="G73" s="87">
        <f>SUM(G74+G78)</f>
        <v>831.9300000000001</v>
      </c>
      <c r="H73" s="88"/>
      <c r="I73" s="88"/>
    </row>
    <row r="74" spans="1:11" ht="12" thickBot="1">
      <c r="A74" s="5">
        <v>291</v>
      </c>
      <c r="B74" s="6" t="s">
        <v>57</v>
      </c>
      <c r="C74" s="6"/>
      <c r="D74" s="9"/>
      <c r="E74" s="6"/>
      <c r="F74" s="6"/>
      <c r="G74" s="71">
        <f>SUM(G75:G77)</f>
        <v>129.849</v>
      </c>
      <c r="H74" s="29">
        <f>SUM(H75:H77)</f>
        <v>0</v>
      </c>
      <c r="I74" s="29">
        <f>SUM(I75:I77)</f>
        <v>0</v>
      </c>
      <c r="J74" s="4"/>
      <c r="K74" s="4"/>
    </row>
    <row r="75" spans="1:11" ht="11.25">
      <c r="A75" s="8" t="s">
        <v>58</v>
      </c>
      <c r="B75" s="3" t="s">
        <v>59</v>
      </c>
      <c r="D75" s="10"/>
      <c r="E75" s="3"/>
      <c r="F75" s="3"/>
      <c r="G75" s="48">
        <v>14.619</v>
      </c>
      <c r="H75" s="49"/>
      <c r="I75" s="50"/>
      <c r="J75" s="4"/>
      <c r="K75" s="4"/>
    </row>
    <row r="76" spans="1:11" ht="11.25">
      <c r="A76" s="8" t="s">
        <v>60</v>
      </c>
      <c r="B76" s="3" t="s">
        <v>61</v>
      </c>
      <c r="D76" s="10"/>
      <c r="E76" s="3"/>
      <c r="F76" s="3"/>
      <c r="G76" s="48">
        <v>94</v>
      </c>
      <c r="H76" s="49"/>
      <c r="I76" s="50"/>
      <c r="J76" s="4"/>
      <c r="K76" s="4"/>
    </row>
    <row r="77" spans="1:11" ht="12" thickBot="1">
      <c r="A77" s="8" t="s">
        <v>62</v>
      </c>
      <c r="B77" s="3" t="s">
        <v>63</v>
      </c>
      <c r="D77" s="10"/>
      <c r="E77" s="3"/>
      <c r="F77" s="3"/>
      <c r="G77" s="48">
        <f>21.23</f>
        <v>21.23</v>
      </c>
      <c r="H77" s="49"/>
      <c r="I77" s="50"/>
      <c r="J77" s="4"/>
      <c r="K77" s="4"/>
    </row>
    <row r="78" spans="1:11" ht="12" thickBot="1">
      <c r="A78" s="55">
        <v>91</v>
      </c>
      <c r="B78" s="56" t="s">
        <v>416</v>
      </c>
      <c r="C78" s="56"/>
      <c r="D78" s="57"/>
      <c r="E78" s="56"/>
      <c r="F78" s="56"/>
      <c r="G78" s="58">
        <f>SUM(G79:G80)</f>
        <v>702.081</v>
      </c>
      <c r="H78" s="58">
        <f>SUM(H79:H80)</f>
        <v>0</v>
      </c>
      <c r="I78" s="59">
        <f>SUM(I79:I80)</f>
        <v>0</v>
      </c>
      <c r="J78" s="4"/>
      <c r="K78" s="4"/>
    </row>
    <row r="79" spans="1:11" ht="11.25">
      <c r="A79" s="12">
        <v>914</v>
      </c>
      <c r="B79" s="11"/>
      <c r="C79" s="11" t="s">
        <v>417</v>
      </c>
      <c r="D79" s="11"/>
      <c r="E79" s="11"/>
      <c r="F79" s="11"/>
      <c r="G79" s="53">
        <f>55.7-14.619</f>
        <v>41.081</v>
      </c>
      <c r="H79" s="54"/>
      <c r="I79" s="54"/>
      <c r="J79" s="4"/>
      <c r="K79" s="4"/>
    </row>
    <row r="80" spans="1:11" ht="11.25">
      <c r="A80" s="12">
        <v>917</v>
      </c>
      <c r="B80" s="11"/>
      <c r="C80" s="11" t="s">
        <v>418</v>
      </c>
      <c r="D80" s="13"/>
      <c r="E80" s="11"/>
      <c r="F80" s="11"/>
      <c r="G80" s="51">
        <v>661</v>
      </c>
      <c r="H80" s="52"/>
      <c r="I80" s="52"/>
      <c r="J80" s="4"/>
      <c r="K80" s="4"/>
    </row>
    <row r="81" spans="1:11" ht="3.75" customHeight="1">
      <c r="A81" s="76"/>
      <c r="B81" s="11"/>
      <c r="C81" s="11"/>
      <c r="D81" s="11"/>
      <c r="E81" s="11"/>
      <c r="F81" s="11"/>
      <c r="G81" s="51"/>
      <c r="H81" s="77"/>
      <c r="I81" s="77"/>
      <c r="J81" s="4"/>
      <c r="K81" s="4"/>
    </row>
    <row r="82" spans="6:7" ht="11.25" hidden="1">
      <c r="F82" s="62" t="s">
        <v>434</v>
      </c>
      <c r="G82" s="72" t="e">
        <f>SUM(#REF!)</f>
        <v>#REF!</v>
      </c>
    </row>
    <row r="83" spans="6:7" s="75" customFormat="1" ht="11.25" hidden="1">
      <c r="F83" s="75" t="s">
        <v>433</v>
      </c>
      <c r="G83" s="60" t="e">
        <f>G82+G4</f>
        <v>#REF!</v>
      </c>
    </row>
    <row r="86" ht="11.25">
      <c r="F86" s="62"/>
    </row>
    <row r="87" spans="5:7" ht="11.25">
      <c r="E87" s="75" t="s">
        <v>447</v>
      </c>
      <c r="F87" s="62"/>
      <c r="G87" s="72"/>
    </row>
    <row r="88" spans="5:7" ht="11.25">
      <c r="E88" s="79" t="s">
        <v>96</v>
      </c>
      <c r="F88" s="80"/>
      <c r="G88" s="78">
        <f>G5/G4</f>
        <v>0.08819127664181504</v>
      </c>
    </row>
    <row r="89" spans="5:7" ht="11.25">
      <c r="E89" s="79" t="s">
        <v>97</v>
      </c>
      <c r="F89" s="80"/>
      <c r="G89" s="78">
        <f>G13/G4</f>
        <v>0.0914224322116483</v>
      </c>
    </row>
    <row r="90" spans="5:7" ht="11.25">
      <c r="E90" s="79" t="s">
        <v>71</v>
      </c>
      <c r="F90" s="80"/>
      <c r="G90" s="78">
        <f>G22/G4</f>
        <v>0.011278420967286677</v>
      </c>
    </row>
    <row r="91" spans="5:7" ht="11.25">
      <c r="E91" s="79" t="s">
        <v>72</v>
      </c>
      <c r="F91" s="80"/>
      <c r="G91" s="78">
        <f>G26/G4</f>
        <v>0.021884618168311235</v>
      </c>
    </row>
    <row r="92" spans="5:7" ht="11.25">
      <c r="E92" s="79" t="s">
        <v>73</v>
      </c>
      <c r="F92" s="80"/>
      <c r="G92" s="78">
        <f>G30/G4</f>
        <v>0.0019419797692016795</v>
      </c>
    </row>
    <row r="93" spans="5:7" ht="11.25">
      <c r="E93" s="79" t="s">
        <v>100</v>
      </c>
      <c r="F93" s="80"/>
      <c r="G93" s="78">
        <f>G32/G4</f>
        <v>0.11017971603624899</v>
      </c>
    </row>
    <row r="94" spans="5:7" ht="11.25">
      <c r="E94" s="79" t="s">
        <v>98</v>
      </c>
      <c r="F94" s="80"/>
      <c r="G94" s="78">
        <f>G47/G4</f>
        <v>0.5208314302554026</v>
      </c>
    </row>
    <row r="95" spans="5:7" ht="11.25">
      <c r="E95" s="79" t="s">
        <v>99</v>
      </c>
      <c r="F95" s="80"/>
      <c r="G95" s="78">
        <f>G64/G4</f>
        <v>0.09213200174270277</v>
      </c>
    </row>
    <row r="96" spans="5:7" ht="11.25">
      <c r="E96" s="79" t="s">
        <v>57</v>
      </c>
      <c r="F96" s="80"/>
      <c r="G96" s="78">
        <f>G74/G4</f>
        <v>0.00969862042504111</v>
      </c>
    </row>
    <row r="97" spans="5:7" ht="11.25">
      <c r="E97" s="79" t="s">
        <v>416</v>
      </c>
      <c r="F97" s="80"/>
      <c r="G97" s="78">
        <f>G78/G4</f>
        <v>0.05243950378234171</v>
      </c>
    </row>
    <row r="98" spans="5:7" ht="11.25">
      <c r="E98" s="19"/>
      <c r="F98" s="19"/>
      <c r="G98" s="81">
        <f>SUM(G88:G97)</f>
        <v>1</v>
      </c>
    </row>
  </sheetData>
  <printOptions/>
  <pageMargins left="0.75" right="0.75" top="1" bottom="1" header="0.5" footer="0.5"/>
  <pageSetup horizontalDpi="300" verticalDpi="3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A1">
      <pane xSplit="4" ySplit="3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IV16384"/>
    </sheetView>
  </sheetViews>
  <sheetFormatPr defaultColWidth="9.140625" defaultRowHeight="12.75"/>
  <cols>
    <col min="1" max="1" width="1.57421875" style="93" customWidth="1"/>
    <col min="2" max="2" width="4.421875" style="93" customWidth="1"/>
    <col min="3" max="3" width="9.140625" style="93" customWidth="1"/>
    <col min="4" max="4" width="26.57421875" style="93" customWidth="1"/>
    <col min="5" max="5" width="7.00390625" style="93" customWidth="1"/>
    <col min="6" max="6" width="6.00390625" style="93" bestFit="1" customWidth="1"/>
    <col min="7" max="7" width="7.00390625" style="93" customWidth="1"/>
    <col min="8" max="9" width="7.00390625" style="93" bestFit="1" customWidth="1"/>
    <col min="10" max="11" width="7.00390625" style="93" customWidth="1"/>
    <col min="12" max="12" width="6.00390625" style="93" customWidth="1"/>
    <col min="13" max="13" width="6.57421875" style="132" bestFit="1" customWidth="1"/>
    <col min="14" max="14" width="9.421875" style="93" customWidth="1"/>
    <col min="15" max="16384" width="9.140625" style="93" customWidth="1"/>
  </cols>
  <sheetData>
    <row r="1" spans="1:14" s="129" customFormat="1" ht="174">
      <c r="A1" s="235"/>
      <c r="B1" s="318" t="s">
        <v>607</v>
      </c>
      <c r="C1" s="262"/>
      <c r="D1" s="263"/>
      <c r="E1" s="237" t="s">
        <v>612</v>
      </c>
      <c r="F1" s="237" t="s">
        <v>617</v>
      </c>
      <c r="G1" s="237" t="s">
        <v>732</v>
      </c>
      <c r="H1" s="237" t="s">
        <v>613</v>
      </c>
      <c r="I1" s="237" t="s">
        <v>614</v>
      </c>
      <c r="J1" s="237" t="s">
        <v>615</v>
      </c>
      <c r="K1" s="237" t="s">
        <v>616</v>
      </c>
      <c r="L1" s="237" t="s">
        <v>618</v>
      </c>
      <c r="M1" s="240" t="s">
        <v>619</v>
      </c>
      <c r="N1" s="241" t="s">
        <v>434</v>
      </c>
    </row>
    <row r="2" spans="1:14" ht="13.5" thickBot="1">
      <c r="A2" s="283" t="s">
        <v>40</v>
      </c>
      <c r="B2" s="234"/>
      <c r="C2" s="233"/>
      <c r="D2" s="233"/>
      <c r="E2" s="230">
        <f aca="true" t="shared" si="0" ref="E2:M2">E57+E54+E53+E47+E10+E3</f>
        <v>111914.15</v>
      </c>
      <c r="F2" s="230">
        <f t="shared" si="0"/>
        <v>38710</v>
      </c>
      <c r="G2" s="230">
        <f t="shared" si="0"/>
        <v>136890</v>
      </c>
      <c r="H2" s="230">
        <f t="shared" si="0"/>
        <v>114359.42</v>
      </c>
      <c r="I2" s="230">
        <f t="shared" si="0"/>
        <v>121759.42</v>
      </c>
      <c r="J2" s="230">
        <f t="shared" si="0"/>
        <v>156206.32</v>
      </c>
      <c r="K2" s="230">
        <f t="shared" si="0"/>
        <v>315452.5</v>
      </c>
      <c r="L2" s="230">
        <f t="shared" si="0"/>
        <v>38691.96</v>
      </c>
      <c r="M2" s="230">
        <f t="shared" si="0"/>
        <v>95000</v>
      </c>
      <c r="N2" s="319">
        <f>SUM(E2:M2)-K2</f>
        <v>813531.27</v>
      </c>
    </row>
    <row r="3" spans="1:14" s="129" customFormat="1" ht="13.5" thickBot="1">
      <c r="A3" s="108" t="s">
        <v>534</v>
      </c>
      <c r="B3" s="169"/>
      <c r="C3" s="108"/>
      <c r="D3" s="108"/>
      <c r="E3" s="138">
        <f aca="true" t="shared" si="1" ref="E3:M3">SUM(E4:E9)</f>
        <v>89031.15</v>
      </c>
      <c r="F3" s="138">
        <f t="shared" si="1"/>
        <v>34710</v>
      </c>
      <c r="G3" s="138">
        <f t="shared" si="1"/>
        <v>0</v>
      </c>
      <c r="H3" s="142">
        <f t="shared" si="1"/>
        <v>72159.42</v>
      </c>
      <c r="I3" s="142">
        <f t="shared" si="1"/>
        <v>72159.42</v>
      </c>
      <c r="J3" s="142">
        <f t="shared" si="1"/>
        <v>120406.32</v>
      </c>
      <c r="K3" s="142">
        <f t="shared" si="1"/>
        <v>95452.5</v>
      </c>
      <c r="L3" s="142">
        <f t="shared" si="1"/>
        <v>19191.96</v>
      </c>
      <c r="M3" s="142">
        <f t="shared" si="1"/>
        <v>0</v>
      </c>
      <c r="N3" s="394">
        <f>SUM(E3:M3)</f>
        <v>503110.77</v>
      </c>
    </row>
    <row r="4" spans="1:13" ht="12.75" hidden="1">
      <c r="A4" s="110"/>
      <c r="B4" s="119" t="s">
        <v>41</v>
      </c>
      <c r="C4" s="119"/>
      <c r="D4" s="120"/>
      <c r="E4" s="139"/>
      <c r="F4" s="139"/>
      <c r="G4" s="139"/>
      <c r="H4" s="139"/>
      <c r="I4" s="139"/>
      <c r="J4" s="139"/>
      <c r="K4" s="139"/>
      <c r="L4" s="139"/>
      <c r="M4" s="144"/>
    </row>
    <row r="5" spans="1:13" ht="12.75">
      <c r="A5" s="110"/>
      <c r="B5" s="111" t="s">
        <v>591</v>
      </c>
      <c r="C5" s="111"/>
      <c r="D5" s="112"/>
      <c r="E5" s="140">
        <f>2500*12+(1000*12)+850*12</f>
        <v>52200</v>
      </c>
      <c r="F5" s="140">
        <f>(2000)*12</f>
        <v>24000</v>
      </c>
      <c r="G5" s="140"/>
      <c r="H5" s="140">
        <f>3700*12+2400-2400</f>
        <v>44400</v>
      </c>
      <c r="I5" s="140">
        <f>3700*12+2400-2400</f>
        <v>44400</v>
      </c>
      <c r="J5" s="140">
        <f>(3700+2780)*12</f>
        <v>77760</v>
      </c>
      <c r="K5" s="140">
        <f>(3000+2500)*13</f>
        <v>71500</v>
      </c>
      <c r="L5" s="140"/>
      <c r="M5" s="145"/>
    </row>
    <row r="6" spans="1:13" ht="12.75">
      <c r="A6" s="110"/>
      <c r="B6" s="111" t="s">
        <v>43</v>
      </c>
      <c r="C6" s="111"/>
      <c r="D6" s="112"/>
      <c r="E6" s="140">
        <f>(46*35)*9</f>
        <v>14490</v>
      </c>
      <c r="F6" s="140"/>
      <c r="G6" s="140"/>
      <c r="H6" s="140">
        <f>(2480*0.2)*12</f>
        <v>5952</v>
      </c>
      <c r="I6" s="140">
        <f>(2480*0.2)*12</f>
        <v>5952</v>
      </c>
      <c r="J6" s="140">
        <f>(2480*0.2)*12</f>
        <v>5952</v>
      </c>
      <c r="K6" s="140"/>
      <c r="L6" s="140">
        <f>1198*12</f>
        <v>14376</v>
      </c>
      <c r="M6" s="145"/>
    </row>
    <row r="7" spans="1:13" ht="12.75" hidden="1">
      <c r="A7" s="110"/>
      <c r="B7" s="114" t="s">
        <v>44</v>
      </c>
      <c r="C7" s="114"/>
      <c r="D7" s="115"/>
      <c r="E7" s="141"/>
      <c r="F7" s="141"/>
      <c r="G7" s="141"/>
      <c r="H7" s="141"/>
      <c r="I7" s="141"/>
      <c r="J7" s="141"/>
      <c r="K7" s="141"/>
      <c r="L7" s="141"/>
      <c r="M7" s="146"/>
    </row>
    <row r="8" spans="1:13" ht="12.75">
      <c r="A8" s="110"/>
      <c r="B8" s="116" t="s">
        <v>45</v>
      </c>
      <c r="C8" s="117"/>
      <c r="D8" s="118"/>
      <c r="E8" s="140"/>
      <c r="F8" s="140">
        <v>2000</v>
      </c>
      <c r="G8" s="140"/>
      <c r="H8" s="140">
        <v>3700</v>
      </c>
      <c r="I8" s="140">
        <v>3700</v>
      </c>
      <c r="J8" s="140">
        <f>3700+2780</f>
        <v>6480</v>
      </c>
      <c r="K8" s="140"/>
      <c r="L8" s="140"/>
      <c r="M8" s="145"/>
    </row>
    <row r="9" spans="1:13" ht="13.5" thickBot="1">
      <c r="A9" s="110"/>
      <c r="B9" s="119" t="s">
        <v>511</v>
      </c>
      <c r="C9" s="119"/>
      <c r="D9" s="120"/>
      <c r="E9" s="139">
        <f aca="true" t="shared" si="2" ref="E9:M9">(E4+E5+E6+E8)*0.335</f>
        <v>22341.15</v>
      </c>
      <c r="F9" s="139">
        <f t="shared" si="2"/>
        <v>8710</v>
      </c>
      <c r="G9" s="139"/>
      <c r="H9" s="139">
        <f t="shared" si="2"/>
        <v>18107.420000000002</v>
      </c>
      <c r="I9" s="139">
        <f t="shared" si="2"/>
        <v>18107.420000000002</v>
      </c>
      <c r="J9" s="139">
        <f t="shared" si="2"/>
        <v>30214.320000000003</v>
      </c>
      <c r="K9" s="139">
        <f t="shared" si="2"/>
        <v>23952.5</v>
      </c>
      <c r="L9" s="139">
        <f t="shared" si="2"/>
        <v>4815.96</v>
      </c>
      <c r="M9" s="139">
        <f t="shared" si="2"/>
        <v>0</v>
      </c>
    </row>
    <row r="10" spans="1:13" s="129" customFormat="1" ht="13.5" thickBot="1">
      <c r="A10" s="108" t="s">
        <v>535</v>
      </c>
      <c r="B10" s="108"/>
      <c r="C10" s="108"/>
      <c r="D10" s="108"/>
      <c r="E10" s="138">
        <f aca="true" t="shared" si="3" ref="E10:M10">E11+E20+E21+E22+E29+E30+E34+E38+E41+E42+E43+E44</f>
        <v>22883</v>
      </c>
      <c r="F10" s="138">
        <f t="shared" si="3"/>
        <v>4000</v>
      </c>
      <c r="G10" s="138"/>
      <c r="H10" s="138">
        <f t="shared" si="3"/>
        <v>42200</v>
      </c>
      <c r="I10" s="138">
        <f t="shared" si="3"/>
        <v>49600</v>
      </c>
      <c r="J10" s="138">
        <f t="shared" si="3"/>
        <v>35800</v>
      </c>
      <c r="K10" s="138">
        <f t="shared" si="3"/>
        <v>220000</v>
      </c>
      <c r="L10" s="138">
        <f t="shared" si="3"/>
        <v>19500</v>
      </c>
      <c r="M10" s="138">
        <f t="shared" si="3"/>
        <v>20000</v>
      </c>
    </row>
    <row r="11" spans="1:13" s="129" customFormat="1" ht="12" customHeight="1">
      <c r="A11" s="151"/>
      <c r="B11" s="158" t="s">
        <v>510</v>
      </c>
      <c r="C11" s="289"/>
      <c r="D11" s="290"/>
      <c r="E11" s="163">
        <f aca="true" t="shared" si="4" ref="E11:M11">SUM(E12:E19)</f>
        <v>8000</v>
      </c>
      <c r="F11" s="163">
        <f t="shared" si="4"/>
        <v>0</v>
      </c>
      <c r="G11" s="163"/>
      <c r="H11" s="163">
        <f t="shared" si="4"/>
        <v>16000</v>
      </c>
      <c r="I11" s="163">
        <f t="shared" si="4"/>
        <v>15000</v>
      </c>
      <c r="J11" s="163">
        <f t="shared" si="4"/>
        <v>15500</v>
      </c>
      <c r="K11" s="163">
        <f t="shared" si="4"/>
        <v>0</v>
      </c>
      <c r="L11" s="163">
        <f t="shared" si="4"/>
        <v>17000</v>
      </c>
      <c r="M11" s="163">
        <f t="shared" si="4"/>
        <v>20000</v>
      </c>
    </row>
    <row r="12" spans="1:13" ht="12" customHeight="1">
      <c r="A12" s="110"/>
      <c r="B12" s="280"/>
      <c r="C12" s="315" t="s">
        <v>500</v>
      </c>
      <c r="D12" s="316"/>
      <c r="E12" s="317">
        <v>1500</v>
      </c>
      <c r="F12" s="139"/>
      <c r="G12" s="139"/>
      <c r="H12" s="139">
        <v>1000</v>
      </c>
      <c r="I12" s="139">
        <v>500</v>
      </c>
      <c r="J12" s="139">
        <v>1000</v>
      </c>
      <c r="K12" s="121"/>
      <c r="L12" s="121"/>
      <c r="M12" s="131"/>
    </row>
    <row r="13" spans="1:13" ht="12" customHeight="1">
      <c r="A13" s="110"/>
      <c r="B13" s="280"/>
      <c r="C13" s="315" t="s">
        <v>501</v>
      </c>
      <c r="D13" s="316"/>
      <c r="E13" s="317"/>
      <c r="F13" s="139"/>
      <c r="G13" s="139"/>
      <c r="H13" s="139">
        <v>11000</v>
      </c>
      <c r="I13" s="139">
        <v>11000</v>
      </c>
      <c r="J13" s="139">
        <v>11000</v>
      </c>
      <c r="K13" s="139"/>
      <c r="L13" s="139"/>
      <c r="M13" s="144"/>
    </row>
    <row r="14" spans="1:13" ht="12" customHeight="1">
      <c r="A14" s="110"/>
      <c r="B14" s="280"/>
      <c r="C14" s="315" t="s">
        <v>502</v>
      </c>
      <c r="D14" s="316"/>
      <c r="E14" s="317">
        <v>6000</v>
      </c>
      <c r="F14" s="139"/>
      <c r="G14" s="139"/>
      <c r="H14" s="139">
        <v>3000</v>
      </c>
      <c r="I14" s="139">
        <v>3000</v>
      </c>
      <c r="J14" s="139">
        <v>3000</v>
      </c>
      <c r="K14" s="139"/>
      <c r="L14" s="139"/>
      <c r="M14" s="144"/>
    </row>
    <row r="15" spans="1:13" ht="12" customHeight="1">
      <c r="A15" s="110"/>
      <c r="B15" s="280"/>
      <c r="C15" s="315" t="s">
        <v>503</v>
      </c>
      <c r="D15" s="316"/>
      <c r="E15" s="317">
        <v>500</v>
      </c>
      <c r="F15" s="139"/>
      <c r="G15" s="139"/>
      <c r="H15" s="139">
        <v>500</v>
      </c>
      <c r="I15" s="139"/>
      <c r="J15" s="139"/>
      <c r="K15" s="139"/>
      <c r="L15" s="139"/>
      <c r="M15" s="144"/>
    </row>
    <row r="16" spans="1:14" ht="12" customHeight="1">
      <c r="A16" s="110"/>
      <c r="B16" s="280"/>
      <c r="C16" s="315" t="s">
        <v>504</v>
      </c>
      <c r="D16" s="316"/>
      <c r="E16" s="317"/>
      <c r="F16" s="139"/>
      <c r="G16" s="139"/>
      <c r="H16" s="139">
        <v>500</v>
      </c>
      <c r="I16" s="139">
        <v>500</v>
      </c>
      <c r="J16" s="139">
        <v>500</v>
      </c>
      <c r="K16" s="139"/>
      <c r="L16" s="139"/>
      <c r="M16" s="144">
        <v>20000</v>
      </c>
      <c r="N16" s="93" t="s">
        <v>622</v>
      </c>
    </row>
    <row r="17" spans="1:13" ht="12" customHeight="1">
      <c r="A17" s="110"/>
      <c r="B17" s="280"/>
      <c r="C17" s="315" t="s">
        <v>505</v>
      </c>
      <c r="D17" s="316"/>
      <c r="E17" s="317"/>
      <c r="F17" s="139"/>
      <c r="G17" s="139"/>
      <c r="H17" s="139"/>
      <c r="I17" s="139"/>
      <c r="J17" s="139"/>
      <c r="K17" s="139"/>
      <c r="L17" s="139"/>
      <c r="M17" s="144"/>
    </row>
    <row r="18" spans="1:14" ht="12" customHeight="1">
      <c r="A18" s="110"/>
      <c r="B18" s="136"/>
      <c r="C18" s="137" t="s">
        <v>506</v>
      </c>
      <c r="E18" s="139"/>
      <c r="F18" s="139"/>
      <c r="G18" s="139"/>
      <c r="H18" s="139"/>
      <c r="I18" s="139"/>
      <c r="J18" s="139"/>
      <c r="K18" s="139"/>
      <c r="L18" s="139">
        <v>17000</v>
      </c>
      <c r="M18" s="144"/>
      <c r="N18" s="93" t="s">
        <v>623</v>
      </c>
    </row>
    <row r="19" spans="1:13" ht="12" customHeight="1" hidden="1">
      <c r="A19" s="110"/>
      <c r="B19" s="136"/>
      <c r="C19" s="137" t="s">
        <v>507</v>
      </c>
      <c r="E19" s="121"/>
      <c r="F19" s="121"/>
      <c r="G19" s="121"/>
      <c r="H19" s="139"/>
      <c r="I19" s="139"/>
      <c r="J19" s="139"/>
      <c r="K19" s="139"/>
      <c r="L19" s="139"/>
      <c r="M19" s="144"/>
    </row>
    <row r="20" spans="1:13" s="129" customFormat="1" ht="13.5">
      <c r="A20" s="151"/>
      <c r="B20" s="152" t="s">
        <v>508</v>
      </c>
      <c r="C20" s="153"/>
      <c r="D20" s="154"/>
      <c r="E20" s="170">
        <v>1000</v>
      </c>
      <c r="F20" s="170">
        <v>1000</v>
      </c>
      <c r="G20" s="170"/>
      <c r="H20" s="156">
        <v>500</v>
      </c>
      <c r="I20" s="156">
        <v>500</v>
      </c>
      <c r="J20" s="156">
        <v>1000</v>
      </c>
      <c r="K20" s="156"/>
      <c r="L20" s="156"/>
      <c r="M20" s="157"/>
    </row>
    <row r="21" spans="1:13" s="129" customFormat="1" ht="13.5">
      <c r="A21" s="151"/>
      <c r="B21" s="152" t="s">
        <v>47</v>
      </c>
      <c r="C21" s="153"/>
      <c r="D21" s="154"/>
      <c r="E21" s="170">
        <v>1000</v>
      </c>
      <c r="F21" s="170">
        <v>1000</v>
      </c>
      <c r="G21" s="170"/>
      <c r="H21" s="156">
        <v>500</v>
      </c>
      <c r="I21" s="156">
        <v>1000</v>
      </c>
      <c r="J21" s="156">
        <v>2000</v>
      </c>
      <c r="K21" s="156"/>
      <c r="L21" s="156"/>
      <c r="M21" s="157"/>
    </row>
    <row r="22" spans="1:13" s="129" customFormat="1" ht="12.75">
      <c r="A22" s="151"/>
      <c r="B22" s="158" t="s">
        <v>48</v>
      </c>
      <c r="C22" s="289"/>
      <c r="D22" s="290"/>
      <c r="E22" s="156">
        <f aca="true" t="shared" si="5" ref="E22:M22">SUM(E23:E28)</f>
        <v>4500</v>
      </c>
      <c r="F22" s="156">
        <f t="shared" si="5"/>
        <v>0</v>
      </c>
      <c r="G22" s="156"/>
      <c r="H22" s="156">
        <f t="shared" si="5"/>
        <v>7000</v>
      </c>
      <c r="I22" s="156">
        <f t="shared" si="5"/>
        <v>10600</v>
      </c>
      <c r="J22" s="156">
        <f t="shared" si="5"/>
        <v>300</v>
      </c>
      <c r="K22" s="156">
        <f t="shared" si="5"/>
        <v>205000</v>
      </c>
      <c r="L22" s="156">
        <f t="shared" si="5"/>
        <v>2500</v>
      </c>
      <c r="M22" s="156">
        <f t="shared" si="5"/>
        <v>0</v>
      </c>
    </row>
    <row r="23" spans="1:13" ht="12.75">
      <c r="A23" s="110"/>
      <c r="B23" s="166"/>
      <c r="C23" s="315" t="s">
        <v>509</v>
      </c>
      <c r="D23" s="316"/>
      <c r="E23" s="229">
        <v>1500</v>
      </c>
      <c r="F23" s="140"/>
      <c r="G23" s="140"/>
      <c r="H23" s="140">
        <v>1500</v>
      </c>
      <c r="I23" s="140">
        <v>1100</v>
      </c>
      <c r="J23" s="140"/>
      <c r="K23" s="140">
        <v>30000</v>
      </c>
      <c r="L23" s="140"/>
      <c r="M23" s="145"/>
    </row>
    <row r="24" spans="1:13" ht="12.75">
      <c r="A24" s="110"/>
      <c r="B24" s="166"/>
      <c r="C24" s="314" t="s">
        <v>515</v>
      </c>
      <c r="D24" s="128"/>
      <c r="E24" s="229">
        <f>15000-15000</f>
        <v>0</v>
      </c>
      <c r="F24" s="140"/>
      <c r="G24" s="140"/>
      <c r="H24" s="140">
        <v>3700</v>
      </c>
      <c r="I24" s="140">
        <v>8000</v>
      </c>
      <c r="J24" s="140"/>
      <c r="K24" s="140">
        <v>156000</v>
      </c>
      <c r="L24" s="140"/>
      <c r="M24" s="145"/>
    </row>
    <row r="25" spans="1:13" ht="12.75">
      <c r="A25" s="110"/>
      <c r="B25" s="166"/>
      <c r="C25" s="116" t="s">
        <v>516</v>
      </c>
      <c r="D25" s="298"/>
      <c r="E25" s="229"/>
      <c r="F25" s="140"/>
      <c r="G25" s="140"/>
      <c r="H25" s="140">
        <v>300</v>
      </c>
      <c r="I25" s="140">
        <v>300</v>
      </c>
      <c r="J25" s="140"/>
      <c r="K25" s="140">
        <v>7000</v>
      </c>
      <c r="L25" s="140"/>
      <c r="M25" s="145"/>
    </row>
    <row r="26" spans="1:13" ht="12.75">
      <c r="A26" s="110"/>
      <c r="B26" s="166"/>
      <c r="C26" s="110" t="s">
        <v>517</v>
      </c>
      <c r="D26" s="314"/>
      <c r="E26" s="229"/>
      <c r="F26" s="140"/>
      <c r="G26" s="140"/>
      <c r="H26" s="140">
        <v>500</v>
      </c>
      <c r="I26" s="140">
        <v>200</v>
      </c>
      <c r="J26" s="140">
        <v>300</v>
      </c>
      <c r="K26" s="140">
        <v>2000</v>
      </c>
      <c r="L26" s="140"/>
      <c r="M26" s="145"/>
    </row>
    <row r="27" spans="1:13" ht="12.75">
      <c r="A27" s="110"/>
      <c r="B27" s="166"/>
      <c r="C27" s="116" t="s">
        <v>518</v>
      </c>
      <c r="D27" s="298"/>
      <c r="E27" s="229">
        <f>10000-9000</f>
        <v>1000</v>
      </c>
      <c r="F27" s="140"/>
      <c r="G27" s="140"/>
      <c r="H27" s="140">
        <v>1000</v>
      </c>
      <c r="I27" s="140">
        <v>1000</v>
      </c>
      <c r="J27" s="140"/>
      <c r="K27" s="140">
        <v>10000</v>
      </c>
      <c r="L27" s="140"/>
      <c r="M27" s="145"/>
    </row>
    <row r="28" spans="1:13" ht="12.75">
      <c r="A28" s="110"/>
      <c r="B28" s="166"/>
      <c r="C28" s="116" t="s">
        <v>786</v>
      </c>
      <c r="D28" s="298"/>
      <c r="E28" s="229">
        <v>2000</v>
      </c>
      <c r="F28" s="140"/>
      <c r="G28" s="140"/>
      <c r="H28" s="140"/>
      <c r="I28" s="140"/>
      <c r="J28" s="140"/>
      <c r="K28" s="140"/>
      <c r="L28" s="140">
        <v>2500</v>
      </c>
      <c r="M28" s="145"/>
    </row>
    <row r="29" spans="1:13" s="129" customFormat="1" ht="13.5">
      <c r="A29" s="151"/>
      <c r="B29" s="161" t="s">
        <v>49</v>
      </c>
      <c r="C29" s="158"/>
      <c r="D29" s="159"/>
      <c r="E29" s="156"/>
      <c r="F29" s="156"/>
      <c r="G29" s="156"/>
      <c r="H29" s="156"/>
      <c r="I29" s="156"/>
      <c r="J29" s="156"/>
      <c r="K29" s="156"/>
      <c r="L29" s="156"/>
      <c r="M29" s="157"/>
    </row>
    <row r="30" spans="1:13" s="129" customFormat="1" ht="12.75">
      <c r="A30" s="151"/>
      <c r="B30" s="161" t="s">
        <v>374</v>
      </c>
      <c r="C30" s="164"/>
      <c r="D30" s="165"/>
      <c r="E30" s="156">
        <f aca="true" t="shared" si="6" ref="E30:M30">SUM(E31:E33)</f>
        <v>3000</v>
      </c>
      <c r="F30" s="156">
        <f t="shared" si="6"/>
        <v>2000</v>
      </c>
      <c r="G30" s="156"/>
      <c r="H30" s="156">
        <f t="shared" si="6"/>
        <v>2200</v>
      </c>
      <c r="I30" s="156">
        <f t="shared" si="6"/>
        <v>1500</v>
      </c>
      <c r="J30" s="156">
        <f t="shared" si="6"/>
        <v>0</v>
      </c>
      <c r="K30" s="156">
        <f t="shared" si="6"/>
        <v>0</v>
      </c>
      <c r="L30" s="156">
        <f t="shared" si="6"/>
        <v>0</v>
      </c>
      <c r="M30" s="156">
        <f t="shared" si="6"/>
        <v>0</v>
      </c>
    </row>
    <row r="31" spans="1:13" ht="12.75">
      <c r="A31" s="110"/>
      <c r="B31" s="116"/>
      <c r="C31" s="116" t="s">
        <v>520</v>
      </c>
      <c r="D31" s="298"/>
      <c r="E31" s="229"/>
      <c r="F31" s="140"/>
      <c r="G31" s="140"/>
      <c r="H31" s="140"/>
      <c r="I31" s="140"/>
      <c r="J31" s="140"/>
      <c r="K31" s="140"/>
      <c r="L31" s="140"/>
      <c r="M31" s="145"/>
    </row>
    <row r="32" spans="1:13" ht="12.75">
      <c r="A32" s="110"/>
      <c r="B32" s="116"/>
      <c r="C32" s="116" t="s">
        <v>521</v>
      </c>
      <c r="D32" s="298"/>
      <c r="E32" s="229"/>
      <c r="F32" s="140"/>
      <c r="G32" s="140"/>
      <c r="H32" s="140"/>
      <c r="I32" s="140"/>
      <c r="J32" s="140"/>
      <c r="K32" s="140"/>
      <c r="L32" s="140"/>
      <c r="M32" s="145"/>
    </row>
    <row r="33" spans="1:13" ht="12.75">
      <c r="A33" s="110"/>
      <c r="B33" s="116"/>
      <c r="C33" s="116" t="s">
        <v>522</v>
      </c>
      <c r="D33" s="298"/>
      <c r="E33" s="229">
        <v>3000</v>
      </c>
      <c r="F33" s="140">
        <v>2000</v>
      </c>
      <c r="G33" s="140"/>
      <c r="H33" s="140">
        <v>2200</v>
      </c>
      <c r="I33" s="140">
        <v>1500</v>
      </c>
      <c r="J33" s="140"/>
      <c r="K33" s="140"/>
      <c r="L33" s="140"/>
      <c r="M33" s="145"/>
    </row>
    <row r="34" spans="1:13" s="129" customFormat="1" ht="12.75">
      <c r="A34" s="151"/>
      <c r="B34" s="161" t="s">
        <v>512</v>
      </c>
      <c r="C34" s="289"/>
      <c r="D34" s="290"/>
      <c r="E34" s="156">
        <f aca="true" t="shared" si="7" ref="E34:M34">SUM(E35:E37)</f>
        <v>0</v>
      </c>
      <c r="F34" s="156">
        <f t="shared" si="7"/>
        <v>0</v>
      </c>
      <c r="G34" s="156"/>
      <c r="H34" s="156">
        <f t="shared" si="7"/>
        <v>0</v>
      </c>
      <c r="I34" s="156">
        <f t="shared" si="7"/>
        <v>8000</v>
      </c>
      <c r="J34" s="156">
        <f t="shared" si="7"/>
        <v>3000</v>
      </c>
      <c r="K34" s="156">
        <f t="shared" si="7"/>
        <v>0</v>
      </c>
      <c r="L34" s="156">
        <f t="shared" si="7"/>
        <v>0</v>
      </c>
      <c r="M34" s="156">
        <f t="shared" si="7"/>
        <v>0</v>
      </c>
    </row>
    <row r="35" spans="1:13" ht="12.75">
      <c r="A35" s="110"/>
      <c r="B35" s="116"/>
      <c r="C35" s="116" t="s">
        <v>594</v>
      </c>
      <c r="D35" s="298"/>
      <c r="E35" s="229"/>
      <c r="F35" s="140"/>
      <c r="G35" s="140"/>
      <c r="H35" s="140"/>
      <c r="I35" s="140"/>
      <c r="J35" s="140">
        <v>3000</v>
      </c>
      <c r="K35" s="140"/>
      <c r="L35" s="140"/>
      <c r="M35" s="145"/>
    </row>
    <row r="36" spans="1:13" ht="12.75">
      <c r="A36" s="110"/>
      <c r="B36" s="116"/>
      <c r="C36" s="116" t="s">
        <v>524</v>
      </c>
      <c r="D36" s="298"/>
      <c r="E36" s="229"/>
      <c r="F36" s="140"/>
      <c r="G36" s="140"/>
      <c r="H36" s="140"/>
      <c r="I36" s="140">
        <v>8000</v>
      </c>
      <c r="J36" s="140"/>
      <c r="K36" s="140"/>
      <c r="L36" s="140"/>
      <c r="M36" s="145"/>
    </row>
    <row r="37" spans="1:13" ht="12.75">
      <c r="A37" s="110"/>
      <c r="B37" s="116"/>
      <c r="C37" s="116" t="s">
        <v>592</v>
      </c>
      <c r="D37" s="298" t="s">
        <v>593</v>
      </c>
      <c r="E37" s="229"/>
      <c r="F37" s="140"/>
      <c r="G37" s="140"/>
      <c r="H37" s="140"/>
      <c r="I37" s="140"/>
      <c r="J37" s="140"/>
      <c r="K37" s="140"/>
      <c r="L37" s="140"/>
      <c r="M37" s="145"/>
    </row>
    <row r="38" spans="1:13" s="129" customFormat="1" ht="12.75">
      <c r="A38" s="151"/>
      <c r="B38" s="161" t="s">
        <v>605</v>
      </c>
      <c r="C38" s="158"/>
      <c r="D38" s="159"/>
      <c r="E38" s="156">
        <f>SUM(E39:E40)</f>
        <v>5383</v>
      </c>
      <c r="F38" s="156">
        <f>SUM(F39:F40)</f>
        <v>0</v>
      </c>
      <c r="G38" s="156"/>
      <c r="H38" s="156">
        <f aca="true" t="shared" si="8" ref="H38:M38">SUM(H39:H40)</f>
        <v>1000</v>
      </c>
      <c r="I38" s="156">
        <f t="shared" si="8"/>
        <v>0</v>
      </c>
      <c r="J38" s="156">
        <f t="shared" si="8"/>
        <v>0</v>
      </c>
      <c r="K38" s="156">
        <f t="shared" si="8"/>
        <v>15000</v>
      </c>
      <c r="L38" s="156">
        <f t="shared" si="8"/>
        <v>0</v>
      </c>
      <c r="M38" s="156">
        <f t="shared" si="8"/>
        <v>0</v>
      </c>
    </row>
    <row r="39" spans="1:13" ht="12.75">
      <c r="A39" s="110"/>
      <c r="B39" s="111"/>
      <c r="C39" s="111" t="s">
        <v>526</v>
      </c>
      <c r="D39" s="112"/>
      <c r="E39" s="140">
        <v>2000</v>
      </c>
      <c r="F39" s="140"/>
      <c r="G39" s="140"/>
      <c r="H39" s="140"/>
      <c r="I39" s="140"/>
      <c r="J39" s="140">
        <v>0</v>
      </c>
      <c r="K39" s="140">
        <v>15000</v>
      </c>
      <c r="L39" s="140"/>
      <c r="M39" s="145"/>
    </row>
    <row r="40" spans="1:13" ht="12.75">
      <c r="A40" s="110"/>
      <c r="B40" s="111"/>
      <c r="C40" s="111" t="s">
        <v>527</v>
      </c>
      <c r="D40" s="112"/>
      <c r="E40" s="140">
        <f>3000+383</f>
        <v>3383</v>
      </c>
      <c r="F40" s="140"/>
      <c r="G40" s="140"/>
      <c r="H40" s="140">
        <v>1000</v>
      </c>
      <c r="I40" s="140"/>
      <c r="J40" s="140"/>
      <c r="K40" s="140"/>
      <c r="L40" s="140"/>
      <c r="M40" s="145"/>
    </row>
    <row r="41" spans="1:13" s="129" customFormat="1" ht="13.5">
      <c r="A41" s="151"/>
      <c r="B41" s="161" t="s">
        <v>50</v>
      </c>
      <c r="C41" s="161"/>
      <c r="D41" s="162"/>
      <c r="E41" s="156"/>
      <c r="F41" s="156"/>
      <c r="G41" s="156"/>
      <c r="H41" s="156"/>
      <c r="I41" s="156"/>
      <c r="J41" s="156"/>
      <c r="K41" s="156"/>
      <c r="L41" s="156"/>
      <c r="M41" s="157"/>
    </row>
    <row r="42" spans="1:13" s="129" customFormat="1" ht="13.5">
      <c r="A42" s="151"/>
      <c r="B42" s="161" t="s">
        <v>51</v>
      </c>
      <c r="C42" s="161"/>
      <c r="D42" s="162"/>
      <c r="E42" s="156"/>
      <c r="F42" s="156"/>
      <c r="G42" s="156"/>
      <c r="H42" s="156"/>
      <c r="I42" s="156"/>
      <c r="J42" s="156"/>
      <c r="K42" s="156"/>
      <c r="L42" s="156"/>
      <c r="M42" s="157"/>
    </row>
    <row r="43" spans="1:13" s="129" customFormat="1" ht="14.25" thickBot="1">
      <c r="A43" s="151"/>
      <c r="B43" s="164" t="s">
        <v>52</v>
      </c>
      <c r="C43" s="164"/>
      <c r="D43" s="165"/>
      <c r="E43" s="156"/>
      <c r="F43" s="156"/>
      <c r="G43" s="156"/>
      <c r="H43" s="156">
        <v>15000</v>
      </c>
      <c r="I43" s="156">
        <v>13000</v>
      </c>
      <c r="J43" s="156">
        <v>14000</v>
      </c>
      <c r="K43" s="156"/>
      <c r="L43" s="156"/>
      <c r="M43" s="157"/>
    </row>
    <row r="44" spans="1:13" s="129" customFormat="1" ht="12.75" hidden="1">
      <c r="A44" s="151"/>
      <c r="B44" s="152" t="s">
        <v>53</v>
      </c>
      <c r="C44" s="153"/>
      <c r="D44" s="154"/>
      <c r="E44" s="170">
        <f aca="true" t="shared" si="9" ref="E44:M44">SUM(E45:E46)</f>
        <v>0</v>
      </c>
      <c r="F44" s="170">
        <f t="shared" si="9"/>
        <v>0</v>
      </c>
      <c r="G44" s="170"/>
      <c r="H44" s="170">
        <f t="shared" si="9"/>
        <v>0</v>
      </c>
      <c r="I44" s="170">
        <f t="shared" si="9"/>
        <v>0</v>
      </c>
      <c r="J44" s="170">
        <f t="shared" si="9"/>
        <v>0</v>
      </c>
      <c r="K44" s="170">
        <f t="shared" si="9"/>
        <v>0</v>
      </c>
      <c r="L44" s="170">
        <f t="shared" si="9"/>
        <v>0</v>
      </c>
      <c r="M44" s="170">
        <f t="shared" si="9"/>
        <v>0</v>
      </c>
    </row>
    <row r="45" spans="1:13" ht="12.75" hidden="1">
      <c r="A45" s="110"/>
      <c r="B45" s="166"/>
      <c r="C45" s="123" t="s">
        <v>528</v>
      </c>
      <c r="D45" s="167"/>
      <c r="E45" s="229"/>
      <c r="F45" s="229"/>
      <c r="G45" s="229"/>
      <c r="H45" s="140"/>
      <c r="I45" s="140"/>
      <c r="J45" s="140"/>
      <c r="K45" s="140"/>
      <c r="L45" s="140"/>
      <c r="M45" s="145"/>
    </row>
    <row r="46" spans="1:13" ht="13.5" hidden="1" thickBot="1">
      <c r="A46" s="110"/>
      <c r="B46" s="166"/>
      <c r="C46" s="123" t="s">
        <v>529</v>
      </c>
      <c r="D46" s="167"/>
      <c r="E46" s="229"/>
      <c r="F46" s="229"/>
      <c r="G46" s="229"/>
      <c r="H46" s="140"/>
      <c r="I46" s="140"/>
      <c r="J46" s="140"/>
      <c r="K46" s="140"/>
      <c r="L46" s="140"/>
      <c r="M46" s="145"/>
    </row>
    <row r="47" spans="1:13" s="129" customFormat="1" ht="13.5" thickBot="1">
      <c r="A47" s="108" t="s">
        <v>536</v>
      </c>
      <c r="B47" s="108"/>
      <c r="C47" s="108"/>
      <c r="D47" s="108"/>
      <c r="E47" s="138">
        <f>SUM(E48:E52)</f>
        <v>0</v>
      </c>
      <c r="F47" s="138">
        <f aca="true" t="shared" si="10" ref="F47:M47">SUM(F48:F52)</f>
        <v>0</v>
      </c>
      <c r="G47" s="138">
        <f t="shared" si="10"/>
        <v>136890</v>
      </c>
      <c r="H47" s="138">
        <f t="shared" si="10"/>
        <v>0</v>
      </c>
      <c r="I47" s="138">
        <f t="shared" si="10"/>
        <v>0</v>
      </c>
      <c r="J47" s="138">
        <f t="shared" si="10"/>
        <v>0</v>
      </c>
      <c r="K47" s="138">
        <f t="shared" si="10"/>
        <v>0</v>
      </c>
      <c r="L47" s="138">
        <f t="shared" si="10"/>
        <v>0</v>
      </c>
      <c r="M47" s="138">
        <f t="shared" si="10"/>
        <v>75000</v>
      </c>
    </row>
    <row r="48" spans="1:13" ht="12.75">
      <c r="A48" s="119" t="s">
        <v>54</v>
      </c>
      <c r="B48" s="119"/>
      <c r="C48" s="119"/>
      <c r="D48" s="119"/>
      <c r="E48" s="139"/>
      <c r="F48" s="139"/>
      <c r="G48" s="139"/>
      <c r="H48" s="139"/>
      <c r="I48" s="139"/>
      <c r="J48" s="139"/>
      <c r="K48" s="139"/>
      <c r="L48" s="139"/>
      <c r="M48" s="144"/>
    </row>
    <row r="49" spans="1:13" ht="12.75">
      <c r="A49" s="116"/>
      <c r="B49" s="116" t="s">
        <v>621</v>
      </c>
      <c r="C49" s="117"/>
      <c r="D49" s="124"/>
      <c r="E49" s="229"/>
      <c r="F49" s="229"/>
      <c r="G49" s="229"/>
      <c r="H49" s="140"/>
      <c r="I49" s="140"/>
      <c r="J49" s="140"/>
      <c r="K49" s="140"/>
      <c r="L49" s="140"/>
      <c r="M49" s="145">
        <f>20000+10000</f>
        <v>30000</v>
      </c>
    </row>
    <row r="50" spans="1:13" ht="12.75">
      <c r="A50" s="116"/>
      <c r="B50" s="116" t="s">
        <v>620</v>
      </c>
      <c r="C50" s="117"/>
      <c r="D50" s="124"/>
      <c r="E50" s="229"/>
      <c r="F50" s="229"/>
      <c r="G50" s="229"/>
      <c r="H50" s="140"/>
      <c r="I50" s="140"/>
      <c r="J50" s="140"/>
      <c r="K50" s="149"/>
      <c r="L50" s="149"/>
      <c r="M50" s="145">
        <f>10000+10000</f>
        <v>20000</v>
      </c>
    </row>
    <row r="51" spans="1:13" ht="12.75" hidden="1">
      <c r="A51" s="119" t="s">
        <v>56</v>
      </c>
      <c r="B51" s="125"/>
      <c r="C51" s="119"/>
      <c r="D51" s="119"/>
      <c r="E51" s="140"/>
      <c r="F51" s="140"/>
      <c r="G51" s="140"/>
      <c r="H51" s="140"/>
      <c r="I51" s="140"/>
      <c r="J51" s="140"/>
      <c r="K51" s="140"/>
      <c r="L51" s="140"/>
      <c r="M51" s="144"/>
    </row>
    <row r="52" spans="1:14" ht="13.5" thickBot="1">
      <c r="A52" s="111" t="s">
        <v>514</v>
      </c>
      <c r="B52" s="126"/>
      <c r="C52" s="111"/>
      <c r="D52" s="111"/>
      <c r="E52" s="140"/>
      <c r="F52" s="140"/>
      <c r="G52" s="140">
        <f>OV!E53</f>
        <v>136890</v>
      </c>
      <c r="H52" s="140"/>
      <c r="I52" s="140"/>
      <c r="J52" s="140"/>
      <c r="K52" s="140"/>
      <c r="L52" s="140"/>
      <c r="M52" s="145">
        <v>25000</v>
      </c>
      <c r="N52" s="93" t="s">
        <v>759</v>
      </c>
    </row>
    <row r="53" spans="1:13" s="129" customFormat="1" ht="14.25" thickBot="1">
      <c r="A53" s="108" t="s">
        <v>530</v>
      </c>
      <c r="B53" s="109"/>
      <c r="C53" s="108"/>
      <c r="D53" s="108"/>
      <c r="E53" s="138"/>
      <c r="F53" s="138"/>
      <c r="G53" s="138"/>
      <c r="H53" s="142"/>
      <c r="I53" s="142"/>
      <c r="J53" s="142"/>
      <c r="K53" s="138"/>
      <c r="L53" s="138"/>
      <c r="M53" s="168"/>
    </row>
    <row r="54" spans="1:13" s="129" customFormat="1" ht="13.5" hidden="1" thickBot="1">
      <c r="A54" s="169" t="s">
        <v>606</v>
      </c>
      <c r="B54" s="109"/>
      <c r="C54" s="108"/>
      <c r="D54" s="108"/>
      <c r="E54" s="138">
        <f>SUM(E55:E56)</f>
        <v>0</v>
      </c>
      <c r="F54" s="138">
        <f>SUM(F55:F56)</f>
        <v>0</v>
      </c>
      <c r="G54" s="138"/>
      <c r="H54" s="138">
        <f aca="true" t="shared" si="11" ref="H54:M54">SUM(H55:H56)</f>
        <v>0</v>
      </c>
      <c r="I54" s="138">
        <f t="shared" si="11"/>
        <v>0</v>
      </c>
      <c r="J54" s="138">
        <f t="shared" si="11"/>
        <v>0</v>
      </c>
      <c r="K54" s="138">
        <f t="shared" si="11"/>
        <v>0</v>
      </c>
      <c r="L54" s="138">
        <f t="shared" si="11"/>
        <v>0</v>
      </c>
      <c r="M54" s="138">
        <f t="shared" si="11"/>
        <v>0</v>
      </c>
    </row>
    <row r="55" spans="1:13" ht="12.75" hidden="1">
      <c r="A55" s="110" t="s">
        <v>532</v>
      </c>
      <c r="B55" s="127"/>
      <c r="C55" s="110"/>
      <c r="D55" s="110"/>
      <c r="E55" s="149"/>
      <c r="F55" s="149"/>
      <c r="G55" s="149"/>
      <c r="H55" s="147"/>
      <c r="I55" s="147"/>
      <c r="J55" s="147"/>
      <c r="K55" s="147"/>
      <c r="L55" s="147"/>
      <c r="M55" s="148"/>
    </row>
    <row r="56" spans="1:13" ht="13.5" hidden="1" thickBot="1">
      <c r="A56" s="110" t="s">
        <v>533</v>
      </c>
      <c r="B56" s="127"/>
      <c r="C56" s="110"/>
      <c r="D56" s="110"/>
      <c r="E56" s="149"/>
      <c r="F56" s="149"/>
      <c r="G56" s="149"/>
      <c r="H56" s="147"/>
      <c r="I56" s="147"/>
      <c r="J56" s="147"/>
      <c r="K56" s="147"/>
      <c r="L56" s="147"/>
      <c r="M56" s="148"/>
    </row>
    <row r="57" spans="1:13" ht="14.25" thickBot="1">
      <c r="A57" s="169" t="s">
        <v>601</v>
      </c>
      <c r="B57" s="108"/>
      <c r="C57" s="108"/>
      <c r="D57" s="108"/>
      <c r="E57" s="138"/>
      <c r="F57" s="138"/>
      <c r="G57" s="138"/>
      <c r="H57" s="142"/>
      <c r="I57" s="142"/>
      <c r="J57" s="142"/>
      <c r="K57" s="138"/>
      <c r="L57" s="138"/>
      <c r="M57" s="168"/>
    </row>
    <row r="58" spans="1:13" s="128" customFormat="1" ht="12.75" hidden="1">
      <c r="A58" s="110"/>
      <c r="C58" s="110"/>
      <c r="D58" s="110"/>
      <c r="E58" s="133"/>
      <c r="F58" s="133"/>
      <c r="G58" s="133"/>
      <c r="H58" s="134"/>
      <c r="I58" s="134"/>
      <c r="J58" s="134"/>
      <c r="K58" s="134"/>
      <c r="L58" s="134"/>
      <c r="M58" s="135"/>
    </row>
    <row r="59" spans="2:13" s="128" customFormat="1" ht="12.75">
      <c r="B59" s="110"/>
      <c r="M59" s="150"/>
    </row>
    <row r="60" spans="4:14" ht="12.75">
      <c r="D60" s="129">
        <v>2003</v>
      </c>
      <c r="E60" s="93">
        <v>42</v>
      </c>
      <c r="F60" s="93">
        <v>32</v>
      </c>
      <c r="H60" s="93">
        <v>101</v>
      </c>
      <c r="I60" s="93">
        <v>115</v>
      </c>
      <c r="J60" s="332">
        <v>135</v>
      </c>
      <c r="L60" s="93">
        <v>35</v>
      </c>
      <c r="M60" s="132">
        <v>50</v>
      </c>
      <c r="N60" s="184">
        <f>SUM(E60:M60)</f>
        <v>510</v>
      </c>
    </row>
    <row r="61" ht="12.75">
      <c r="K61" s="93">
        <v>374</v>
      </c>
    </row>
    <row r="62" ht="12.75">
      <c r="K62" s="93">
        <v>123.2</v>
      </c>
    </row>
    <row r="63" spans="4:14" ht="12.75">
      <c r="D63" s="93">
        <v>2004</v>
      </c>
      <c r="E63" s="238">
        <f aca="true" t="shared" si="12" ref="E63:M63">(E2/1000)/E60</f>
        <v>2.664622619047619</v>
      </c>
      <c r="F63" s="238">
        <f t="shared" si="12"/>
        <v>1.2096875</v>
      </c>
      <c r="G63" s="238"/>
      <c r="H63" s="238">
        <f t="shared" si="12"/>
        <v>1.132271485148515</v>
      </c>
      <c r="I63" s="238">
        <f t="shared" si="12"/>
        <v>1.0587775652173912</v>
      </c>
      <c r="J63" s="238">
        <f t="shared" si="12"/>
        <v>1.1570838518518518</v>
      </c>
      <c r="K63" s="238"/>
      <c r="L63" s="238">
        <f t="shared" si="12"/>
        <v>1.1054845714285715</v>
      </c>
      <c r="M63" s="243">
        <f t="shared" si="12"/>
        <v>1.9</v>
      </c>
      <c r="N63" s="243">
        <f>((N2-G2-K2)/1000)/N60</f>
        <v>0.708213274509804</v>
      </c>
    </row>
  </sheetData>
  <printOptions/>
  <pageMargins left="0.15748031496062992" right="0.15748031496062992" top="0.3937007874015748" bottom="0.3937007874015748" header="0.31496062992125984" footer="0.11811023622047245"/>
  <pageSetup horizontalDpi="300" verticalDpi="3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52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IV16384"/>
    </sheetView>
  </sheetViews>
  <sheetFormatPr defaultColWidth="9.140625" defaultRowHeight="12.75"/>
  <cols>
    <col min="1" max="1" width="1.57421875" style="93" customWidth="1"/>
    <col min="2" max="2" width="4.421875" style="93" customWidth="1"/>
    <col min="3" max="3" width="9.140625" style="93" customWidth="1"/>
    <col min="4" max="4" width="22.421875" style="93" customWidth="1"/>
    <col min="5" max="7" width="7.00390625" style="93" bestFit="1" customWidth="1"/>
    <col min="8" max="9" width="7.00390625" style="93" customWidth="1"/>
    <col min="10" max="10" width="6.00390625" style="93" bestFit="1" customWidth="1"/>
    <col min="11" max="11" width="6.00390625" style="93" customWidth="1"/>
    <col min="12" max="12" width="7.140625" style="93" customWidth="1"/>
    <col min="13" max="13" width="6.00390625" style="93" bestFit="1" customWidth="1"/>
    <col min="14" max="14" width="8.00390625" style="93" bestFit="1" customWidth="1"/>
    <col min="15" max="15" width="5.00390625" style="93" bestFit="1" customWidth="1"/>
    <col min="16" max="19" width="7.00390625" style="93" bestFit="1" customWidth="1"/>
    <col min="20" max="20" width="6.00390625" style="93" bestFit="1" customWidth="1"/>
    <col min="21" max="21" width="5.8515625" style="93" customWidth="1"/>
    <col min="22" max="22" width="8.00390625" style="93" customWidth="1"/>
    <col min="23" max="16384" width="9.140625" style="93" customWidth="1"/>
  </cols>
  <sheetData>
    <row r="1" ht="13.5" thickBot="1">
      <c r="B1" s="93" t="s">
        <v>544</v>
      </c>
    </row>
    <row r="2" spans="1:22" s="312" customFormat="1" ht="157.5" thickBot="1">
      <c r="A2" s="308"/>
      <c r="B2" s="259"/>
      <c r="C2" s="309"/>
      <c r="D2" s="310"/>
      <c r="E2" s="311" t="s">
        <v>627</v>
      </c>
      <c r="F2" s="311" t="s">
        <v>628</v>
      </c>
      <c r="G2" s="311" t="s">
        <v>543</v>
      </c>
      <c r="H2" s="311" t="s">
        <v>629</v>
      </c>
      <c r="I2" s="311" t="s">
        <v>630</v>
      </c>
      <c r="J2" s="311" t="s">
        <v>633</v>
      </c>
      <c r="K2" s="311" t="s">
        <v>653</v>
      </c>
      <c r="L2" s="311" t="s">
        <v>541</v>
      </c>
      <c r="M2" s="256" t="s">
        <v>542</v>
      </c>
      <c r="N2" s="256" t="s">
        <v>545</v>
      </c>
      <c r="O2" s="311" t="s">
        <v>578</v>
      </c>
      <c r="P2" s="311" t="s">
        <v>579</v>
      </c>
      <c r="Q2" s="311" t="s">
        <v>580</v>
      </c>
      <c r="R2" s="257" t="s">
        <v>581</v>
      </c>
      <c r="S2" s="311" t="s">
        <v>582</v>
      </c>
      <c r="T2" s="311" t="s">
        <v>583</v>
      </c>
      <c r="U2" s="311" t="s">
        <v>584</v>
      </c>
      <c r="V2" s="258" t="s">
        <v>585</v>
      </c>
    </row>
    <row r="3" spans="1:22" s="129" customFormat="1" ht="13.5" thickBot="1">
      <c r="A3" s="169" t="s">
        <v>40</v>
      </c>
      <c r="B3" s="109"/>
      <c r="C3" s="108"/>
      <c r="D3" s="108"/>
      <c r="E3" s="138">
        <f aca="true" t="shared" si="0" ref="E3:M3">E4+E11+E43+E49+E50</f>
        <v>234952.5</v>
      </c>
      <c r="F3" s="138">
        <f t="shared" si="0"/>
        <v>118452.5</v>
      </c>
      <c r="G3" s="138">
        <f t="shared" si="0"/>
        <v>148412</v>
      </c>
      <c r="H3" s="138">
        <f t="shared" si="0"/>
        <v>100000</v>
      </c>
      <c r="I3" s="138">
        <f t="shared" si="0"/>
        <v>100000</v>
      </c>
      <c r="J3" s="138">
        <f t="shared" si="0"/>
        <v>62675</v>
      </c>
      <c r="K3" s="138">
        <f t="shared" si="0"/>
        <v>28350</v>
      </c>
      <c r="L3" s="138">
        <f t="shared" si="0"/>
        <v>351762.08</v>
      </c>
      <c r="M3" s="230">
        <f t="shared" si="0"/>
        <v>12000</v>
      </c>
      <c r="N3" s="230">
        <f aca="true" t="shared" si="1" ref="N3:N10">SUM(E3:M3)</f>
        <v>1156604.08</v>
      </c>
      <c r="O3" s="138">
        <f>O4+O11+O43+O49+O50</f>
        <v>6000</v>
      </c>
      <c r="P3" s="138">
        <f>P4+P11+P43+P49+P50</f>
        <v>101400</v>
      </c>
      <c r="Q3" s="138">
        <f>Q4+Q11+Q43+Q49+Q50</f>
        <v>100000</v>
      </c>
      <c r="R3" s="138">
        <f>SUM(O3:Q3)</f>
        <v>207400</v>
      </c>
      <c r="S3" s="138">
        <f>S4+S11+S43+S49+S50</f>
        <v>199873.34</v>
      </c>
      <c r="T3" s="138">
        <f>T4+T11+T43+T49+T50</f>
        <v>27000</v>
      </c>
      <c r="U3" s="138">
        <f>U4+U11+U43+U49+U50</f>
        <v>57739.6</v>
      </c>
      <c r="V3" s="248">
        <f>SUM(S3:U3)</f>
        <v>284612.94</v>
      </c>
    </row>
    <row r="4" spans="1:22" s="129" customFormat="1" ht="13.5" thickBot="1">
      <c r="A4" s="169" t="s">
        <v>534</v>
      </c>
      <c r="B4" s="279"/>
      <c r="C4" s="279"/>
      <c r="D4" s="279"/>
      <c r="E4" s="138">
        <f aca="true" t="shared" si="2" ref="E4:M4">SUM(E5:E10)</f>
        <v>95452.5</v>
      </c>
      <c r="F4" s="138">
        <f t="shared" si="2"/>
        <v>95452.5</v>
      </c>
      <c r="G4" s="138">
        <f t="shared" si="2"/>
        <v>116412</v>
      </c>
      <c r="H4" s="138">
        <f t="shared" si="2"/>
        <v>0</v>
      </c>
      <c r="I4" s="138">
        <f t="shared" si="2"/>
        <v>0</v>
      </c>
      <c r="J4" s="138">
        <f t="shared" si="2"/>
        <v>6675</v>
      </c>
      <c r="K4" s="138">
        <f t="shared" si="2"/>
        <v>13350</v>
      </c>
      <c r="L4" s="138">
        <f t="shared" si="2"/>
        <v>238762.08000000002</v>
      </c>
      <c r="M4" s="138">
        <f t="shared" si="2"/>
        <v>0</v>
      </c>
      <c r="N4" s="138">
        <f t="shared" si="1"/>
        <v>566104.0800000001</v>
      </c>
      <c r="O4" s="138">
        <f>SUM(O5:O10)</f>
        <v>0</v>
      </c>
      <c r="P4" s="138">
        <f>SUM(P5:P10)</f>
        <v>53400</v>
      </c>
      <c r="Q4" s="138">
        <f>SUM(Q5:Q10)</f>
        <v>0</v>
      </c>
      <c r="R4" s="138">
        <f aca="true" t="shared" si="3" ref="R4:R50">SUM(O4:Q4)</f>
        <v>53400</v>
      </c>
      <c r="S4" s="138">
        <f>SUM(S5:S10)</f>
        <v>107873.34</v>
      </c>
      <c r="T4" s="138">
        <f>SUM(T5:T10)</f>
        <v>0</v>
      </c>
      <c r="U4" s="138">
        <f>SUM(U5:U10)</f>
        <v>47739.6</v>
      </c>
      <c r="V4" s="248">
        <f>SUM(V5:V10)</f>
        <v>155612.94</v>
      </c>
    </row>
    <row r="5" spans="1:22" ht="12.75">
      <c r="A5" s="110"/>
      <c r="B5" s="116" t="s">
        <v>41</v>
      </c>
      <c r="C5" s="117"/>
      <c r="D5" s="298"/>
      <c r="E5" s="317">
        <f>(5500)*12+6600-6600</f>
        <v>66000</v>
      </c>
      <c r="F5" s="139">
        <f>5500*12</f>
        <v>66000</v>
      </c>
      <c r="G5" s="139">
        <f>(6200*12)+6600</f>
        <v>81000</v>
      </c>
      <c r="H5" s="139"/>
      <c r="I5" s="139"/>
      <c r="J5" s="139"/>
      <c r="K5" s="139"/>
      <c r="L5" s="139"/>
      <c r="M5" s="139"/>
      <c r="N5" s="139">
        <f t="shared" si="1"/>
        <v>213000</v>
      </c>
      <c r="O5" s="139"/>
      <c r="P5" s="139"/>
      <c r="Q5" s="139"/>
      <c r="R5" s="139">
        <f t="shared" si="3"/>
        <v>0</v>
      </c>
      <c r="S5" s="139"/>
      <c r="T5" s="139"/>
      <c r="U5" s="139"/>
      <c r="V5" s="139">
        <f aca="true" t="shared" si="4" ref="V5:V50">SUM(S5:U5)</f>
        <v>0</v>
      </c>
    </row>
    <row r="6" spans="1:22" ht="12.75">
      <c r="A6" s="110"/>
      <c r="B6" s="116" t="s">
        <v>42</v>
      </c>
      <c r="C6" s="117"/>
      <c r="D6" s="298"/>
      <c r="E6" s="229"/>
      <c r="F6" s="140"/>
      <c r="G6" s="140"/>
      <c r="H6" s="140"/>
      <c r="I6" s="140"/>
      <c r="J6" s="140">
        <v>5000</v>
      </c>
      <c r="K6" s="140">
        <v>10000</v>
      </c>
      <c r="L6" s="140">
        <f>(2480*4*12)*1.2+(5500/2)*12</f>
        <v>175848</v>
      </c>
      <c r="M6" s="140"/>
      <c r="N6" s="140">
        <f t="shared" si="1"/>
        <v>190848</v>
      </c>
      <c r="O6" s="140"/>
      <c r="P6" s="140"/>
      <c r="Q6" s="140"/>
      <c r="R6" s="140">
        <f t="shared" si="3"/>
        <v>0</v>
      </c>
      <c r="S6" s="140">
        <f>(5500/2)*12+1087*12</f>
        <v>46044</v>
      </c>
      <c r="T6" s="140"/>
      <c r="U6" s="140">
        <f>2480*12</f>
        <v>29760</v>
      </c>
      <c r="V6" s="140">
        <f t="shared" si="4"/>
        <v>75804</v>
      </c>
    </row>
    <row r="7" spans="1:22" ht="12.75">
      <c r="A7" s="110"/>
      <c r="B7" s="116" t="s">
        <v>626</v>
      </c>
      <c r="C7" s="117"/>
      <c r="D7" s="298"/>
      <c r="E7" s="229"/>
      <c r="F7" s="140"/>
      <c r="G7" s="140"/>
      <c r="H7" s="140"/>
      <c r="I7" s="140"/>
      <c r="J7" s="140"/>
      <c r="K7" s="140"/>
      <c r="L7" s="140">
        <v>3000</v>
      </c>
      <c r="M7" s="140"/>
      <c r="N7" s="140">
        <f t="shared" si="1"/>
        <v>3000</v>
      </c>
      <c r="O7" s="140"/>
      <c r="P7" s="140">
        <v>40000</v>
      </c>
      <c r="Q7" s="140"/>
      <c r="R7" s="140">
        <f t="shared" si="3"/>
        <v>40000</v>
      </c>
      <c r="S7" s="140">
        <f>5000+2480*12</f>
        <v>34760</v>
      </c>
      <c r="T7" s="140"/>
      <c r="U7" s="140">
        <v>6000</v>
      </c>
      <c r="V7" s="140">
        <f t="shared" si="4"/>
        <v>40760</v>
      </c>
    </row>
    <row r="8" spans="1:22" ht="12.75" hidden="1">
      <c r="A8" s="110"/>
      <c r="B8" s="110" t="s">
        <v>44</v>
      </c>
      <c r="C8" s="110"/>
      <c r="D8" s="314"/>
      <c r="E8" s="282"/>
      <c r="F8" s="141"/>
      <c r="G8" s="140"/>
      <c r="H8" s="140"/>
      <c r="I8" s="140"/>
      <c r="J8" s="140"/>
      <c r="K8" s="140"/>
      <c r="L8" s="140"/>
      <c r="M8" s="140"/>
      <c r="N8" s="140">
        <f t="shared" si="1"/>
        <v>0</v>
      </c>
      <c r="O8" s="140"/>
      <c r="P8" s="140"/>
      <c r="Q8" s="140"/>
      <c r="R8" s="140">
        <f t="shared" si="3"/>
        <v>0</v>
      </c>
      <c r="S8" s="140"/>
      <c r="T8" s="140"/>
      <c r="U8" s="140"/>
      <c r="V8" s="140">
        <f t="shared" si="4"/>
        <v>0</v>
      </c>
    </row>
    <row r="9" spans="1:22" ht="12.75">
      <c r="A9" s="110"/>
      <c r="B9" s="116" t="s">
        <v>45</v>
      </c>
      <c r="C9" s="117"/>
      <c r="D9" s="298"/>
      <c r="E9" s="229">
        <v>5500</v>
      </c>
      <c r="F9" s="140">
        <v>5500</v>
      </c>
      <c r="G9" s="140">
        <v>6200</v>
      </c>
      <c r="H9" s="140"/>
      <c r="I9" s="140"/>
      <c r="J9" s="140"/>
      <c r="K9" s="140"/>
      <c r="L9" s="140"/>
      <c r="M9" s="140"/>
      <c r="N9" s="140">
        <f t="shared" si="1"/>
        <v>17200</v>
      </c>
      <c r="O9" s="140"/>
      <c r="P9" s="140"/>
      <c r="Q9" s="140"/>
      <c r="R9" s="140">
        <f t="shared" si="3"/>
        <v>0</v>
      </c>
      <c r="S9" s="140"/>
      <c r="T9" s="140"/>
      <c r="U9" s="140"/>
      <c r="V9" s="140">
        <f t="shared" si="4"/>
        <v>0</v>
      </c>
    </row>
    <row r="10" spans="1:22" ht="13.5" thickBot="1">
      <c r="A10" s="110"/>
      <c r="B10" s="111" t="s">
        <v>511</v>
      </c>
      <c r="C10" s="111"/>
      <c r="D10" s="112"/>
      <c r="E10" s="147">
        <f aca="true" t="shared" si="5" ref="E10:L10">(E5+E6+E7+E9)*0.335</f>
        <v>23952.5</v>
      </c>
      <c r="F10" s="147">
        <f t="shared" si="5"/>
        <v>23952.5</v>
      </c>
      <c r="G10" s="141">
        <f t="shared" si="5"/>
        <v>29212</v>
      </c>
      <c r="H10" s="141">
        <f t="shared" si="5"/>
        <v>0</v>
      </c>
      <c r="I10" s="141">
        <f t="shared" si="5"/>
        <v>0</v>
      </c>
      <c r="J10" s="141">
        <f t="shared" si="5"/>
        <v>1675</v>
      </c>
      <c r="K10" s="141">
        <f t="shared" si="5"/>
        <v>3350</v>
      </c>
      <c r="L10" s="141">
        <f t="shared" si="5"/>
        <v>59914.08</v>
      </c>
      <c r="M10" s="141">
        <f aca="true" t="shared" si="6" ref="M10:U10">(M5+M6+M7+M9)*0.335</f>
        <v>0</v>
      </c>
      <c r="N10" s="141">
        <f t="shared" si="1"/>
        <v>142056.08000000002</v>
      </c>
      <c r="O10" s="141">
        <f t="shared" si="6"/>
        <v>0</v>
      </c>
      <c r="P10" s="141">
        <f t="shared" si="6"/>
        <v>13400</v>
      </c>
      <c r="Q10" s="141">
        <f t="shared" si="6"/>
        <v>0</v>
      </c>
      <c r="R10" s="141">
        <f t="shared" si="3"/>
        <v>13400</v>
      </c>
      <c r="S10" s="141">
        <f t="shared" si="6"/>
        <v>27069.34</v>
      </c>
      <c r="T10" s="141">
        <f t="shared" si="6"/>
        <v>0</v>
      </c>
      <c r="U10" s="141">
        <f t="shared" si="6"/>
        <v>11979.6</v>
      </c>
      <c r="V10" s="141">
        <f t="shared" si="4"/>
        <v>39048.94</v>
      </c>
    </row>
    <row r="11" spans="1:22" s="129" customFormat="1" ht="13.5" thickBot="1">
      <c r="A11" s="169" t="s">
        <v>535</v>
      </c>
      <c r="B11" s="233"/>
      <c r="C11" s="233"/>
      <c r="D11" s="233"/>
      <c r="E11" s="138">
        <f>E12+E21+E22+E23+E30+E31+E35+E39+E42</f>
        <v>35500</v>
      </c>
      <c r="F11" s="138">
        <f aca="true" t="shared" si="7" ref="F11:V11">F12+F21+F22+F23+F30+F31+F35+F39+F42</f>
        <v>23000</v>
      </c>
      <c r="G11" s="138">
        <f t="shared" si="7"/>
        <v>32000</v>
      </c>
      <c r="H11" s="138">
        <f t="shared" si="7"/>
        <v>0</v>
      </c>
      <c r="I11" s="138">
        <f t="shared" si="7"/>
        <v>0</v>
      </c>
      <c r="J11" s="138">
        <f t="shared" si="7"/>
        <v>6000</v>
      </c>
      <c r="K11" s="138">
        <f t="shared" si="7"/>
        <v>15000</v>
      </c>
      <c r="L11" s="138">
        <f t="shared" si="7"/>
        <v>113000</v>
      </c>
      <c r="M11" s="138">
        <f t="shared" si="7"/>
        <v>0</v>
      </c>
      <c r="N11" s="138">
        <f t="shared" si="7"/>
        <v>224500</v>
      </c>
      <c r="O11" s="138">
        <f t="shared" si="7"/>
        <v>0</v>
      </c>
      <c r="P11" s="138">
        <f t="shared" si="7"/>
        <v>48000</v>
      </c>
      <c r="Q11" s="138">
        <f t="shared" si="7"/>
        <v>0</v>
      </c>
      <c r="R11" s="138">
        <f t="shared" si="7"/>
        <v>48000</v>
      </c>
      <c r="S11" s="138">
        <f t="shared" si="7"/>
        <v>92000</v>
      </c>
      <c r="T11" s="138">
        <f t="shared" si="7"/>
        <v>17000</v>
      </c>
      <c r="U11" s="138">
        <f t="shared" si="7"/>
        <v>10000</v>
      </c>
      <c r="V11" s="248">
        <f t="shared" si="7"/>
        <v>119000</v>
      </c>
    </row>
    <row r="12" spans="1:22" s="129" customFormat="1" ht="12" customHeight="1">
      <c r="A12" s="151"/>
      <c r="B12" s="158" t="s">
        <v>510</v>
      </c>
      <c r="C12" s="289"/>
      <c r="D12" s="290"/>
      <c r="E12" s="163">
        <f aca="true" t="shared" si="8" ref="E12:J12">SUM(E13:E20)</f>
        <v>23500</v>
      </c>
      <c r="F12" s="163">
        <f t="shared" si="8"/>
        <v>6000</v>
      </c>
      <c r="G12" s="163">
        <f t="shared" si="8"/>
        <v>15000</v>
      </c>
      <c r="H12" s="163">
        <f t="shared" si="8"/>
        <v>0</v>
      </c>
      <c r="I12" s="163">
        <f t="shared" si="8"/>
        <v>0</v>
      </c>
      <c r="J12" s="163">
        <f t="shared" si="8"/>
        <v>0</v>
      </c>
      <c r="K12" s="163"/>
      <c r="L12" s="163">
        <f aca="true" t="shared" si="9" ref="L12:U12">SUM(L13:L20)</f>
        <v>3000</v>
      </c>
      <c r="M12" s="163">
        <f t="shared" si="9"/>
        <v>0</v>
      </c>
      <c r="N12" s="163">
        <f aca="true" t="shared" si="10" ref="N12:N50">SUM(E12:M12)</f>
        <v>47500</v>
      </c>
      <c r="O12" s="163">
        <f>SUM(O13:O22)</f>
        <v>0</v>
      </c>
      <c r="P12" s="163">
        <f>SUM(P13:P22)</f>
        <v>0</v>
      </c>
      <c r="Q12" s="163">
        <f>SUM(Q13:Q22)</f>
        <v>0</v>
      </c>
      <c r="R12" s="163">
        <f t="shared" si="3"/>
        <v>0</v>
      </c>
      <c r="S12" s="163">
        <f t="shared" si="9"/>
        <v>4000</v>
      </c>
      <c r="T12" s="163">
        <f t="shared" si="9"/>
        <v>0</v>
      </c>
      <c r="U12" s="163">
        <f t="shared" si="9"/>
        <v>0</v>
      </c>
      <c r="V12" s="163">
        <f t="shared" si="4"/>
        <v>4000</v>
      </c>
    </row>
    <row r="13" spans="1:22" ht="12" customHeight="1">
      <c r="A13" s="110"/>
      <c r="B13" s="280"/>
      <c r="C13" s="315" t="s">
        <v>500</v>
      </c>
      <c r="D13" s="316"/>
      <c r="E13" s="229">
        <v>2000</v>
      </c>
      <c r="F13" s="140"/>
      <c r="G13" s="113"/>
      <c r="H13" s="113"/>
      <c r="I13" s="113"/>
      <c r="J13" s="113"/>
      <c r="K13" s="113"/>
      <c r="L13" s="113"/>
      <c r="M13" s="140"/>
      <c r="N13" s="140">
        <f t="shared" si="10"/>
        <v>2000</v>
      </c>
      <c r="O13" s="113"/>
      <c r="P13" s="113"/>
      <c r="Q13" s="113"/>
      <c r="R13" s="140">
        <f t="shared" si="3"/>
        <v>0</v>
      </c>
      <c r="S13" s="113"/>
      <c r="T13" s="113"/>
      <c r="U13" s="113"/>
      <c r="V13" s="140">
        <f t="shared" si="4"/>
        <v>0</v>
      </c>
    </row>
    <row r="14" spans="1:22" ht="12" customHeight="1">
      <c r="A14" s="110"/>
      <c r="B14" s="280"/>
      <c r="C14" s="315" t="s">
        <v>501</v>
      </c>
      <c r="D14" s="316"/>
      <c r="E14" s="229">
        <v>4000</v>
      </c>
      <c r="F14" s="140">
        <v>4000</v>
      </c>
      <c r="G14" s="140"/>
      <c r="H14" s="140"/>
      <c r="I14" s="140"/>
      <c r="J14" s="140"/>
      <c r="K14" s="140"/>
      <c r="L14" s="140"/>
      <c r="M14" s="140"/>
      <c r="N14" s="140">
        <f t="shared" si="10"/>
        <v>8000</v>
      </c>
      <c r="O14" s="140"/>
      <c r="P14" s="140"/>
      <c r="Q14" s="140"/>
      <c r="R14" s="140">
        <f t="shared" si="3"/>
        <v>0</v>
      </c>
      <c r="S14" s="140"/>
      <c r="T14" s="140"/>
      <c r="U14" s="140"/>
      <c r="V14" s="140">
        <f t="shared" si="4"/>
        <v>0</v>
      </c>
    </row>
    <row r="15" spans="1:22" ht="12" customHeight="1">
      <c r="A15" s="110"/>
      <c r="B15" s="280"/>
      <c r="C15" s="315" t="s">
        <v>502</v>
      </c>
      <c r="D15" s="316"/>
      <c r="E15" s="229">
        <v>1000</v>
      </c>
      <c r="F15" s="140">
        <v>2000</v>
      </c>
      <c r="G15" s="140">
        <v>5000</v>
      </c>
      <c r="H15" s="140"/>
      <c r="I15" s="140"/>
      <c r="J15" s="140"/>
      <c r="K15" s="140"/>
      <c r="L15" s="140"/>
      <c r="M15" s="140"/>
      <c r="N15" s="140">
        <f t="shared" si="10"/>
        <v>8000</v>
      </c>
      <c r="O15" s="140"/>
      <c r="P15" s="140"/>
      <c r="Q15" s="140"/>
      <c r="R15" s="140">
        <f t="shared" si="3"/>
        <v>0</v>
      </c>
      <c r="S15" s="140">
        <v>3000</v>
      </c>
      <c r="T15" s="140"/>
      <c r="U15" s="140"/>
      <c r="V15" s="140">
        <f t="shared" si="4"/>
        <v>3000</v>
      </c>
    </row>
    <row r="16" spans="1:22" ht="12" customHeight="1">
      <c r="A16" s="110"/>
      <c r="B16" s="280"/>
      <c r="C16" s="315" t="s">
        <v>503</v>
      </c>
      <c r="D16" s="316"/>
      <c r="E16" s="229">
        <v>16000</v>
      </c>
      <c r="F16" s="140"/>
      <c r="G16" s="140"/>
      <c r="H16" s="140"/>
      <c r="I16" s="140"/>
      <c r="J16" s="140"/>
      <c r="K16" s="140"/>
      <c r="L16" s="140"/>
      <c r="M16" s="140"/>
      <c r="N16" s="140">
        <f t="shared" si="10"/>
        <v>16000</v>
      </c>
      <c r="O16" s="140"/>
      <c r="P16" s="140"/>
      <c r="Q16" s="140"/>
      <c r="R16" s="140">
        <f t="shared" si="3"/>
        <v>0</v>
      </c>
      <c r="S16" s="140">
        <v>1000</v>
      </c>
      <c r="T16" s="140"/>
      <c r="U16" s="140"/>
      <c r="V16" s="140">
        <f t="shared" si="4"/>
        <v>1000</v>
      </c>
    </row>
    <row r="17" spans="1:22" ht="12" customHeight="1" hidden="1">
      <c r="A17" s="110"/>
      <c r="B17" s="280"/>
      <c r="C17" s="314" t="s">
        <v>504</v>
      </c>
      <c r="D17" s="128"/>
      <c r="E17" s="229"/>
      <c r="F17" s="140"/>
      <c r="G17" s="140"/>
      <c r="H17" s="140"/>
      <c r="I17" s="140"/>
      <c r="J17" s="140"/>
      <c r="K17" s="140"/>
      <c r="L17" s="140"/>
      <c r="M17" s="140"/>
      <c r="N17" s="140">
        <f t="shared" si="10"/>
        <v>0</v>
      </c>
      <c r="O17" s="140"/>
      <c r="P17" s="140"/>
      <c r="Q17" s="140"/>
      <c r="R17" s="140">
        <f t="shared" si="3"/>
        <v>0</v>
      </c>
      <c r="S17" s="140"/>
      <c r="T17" s="140"/>
      <c r="U17" s="140"/>
      <c r="V17" s="140">
        <f t="shared" si="4"/>
        <v>0</v>
      </c>
    </row>
    <row r="18" spans="1:22" ht="12" customHeight="1">
      <c r="A18" s="110"/>
      <c r="B18" s="280"/>
      <c r="C18" s="315" t="s">
        <v>505</v>
      </c>
      <c r="D18" s="316"/>
      <c r="E18" s="229"/>
      <c r="F18" s="140"/>
      <c r="G18" s="140"/>
      <c r="H18" s="140"/>
      <c r="I18" s="140"/>
      <c r="J18" s="140"/>
      <c r="K18" s="140"/>
      <c r="L18" s="140"/>
      <c r="M18" s="140"/>
      <c r="N18" s="140">
        <f t="shared" si="10"/>
        <v>0</v>
      </c>
      <c r="O18" s="140"/>
      <c r="P18" s="140"/>
      <c r="Q18" s="140"/>
      <c r="R18" s="140">
        <f t="shared" si="3"/>
        <v>0</v>
      </c>
      <c r="S18" s="140"/>
      <c r="T18" s="140"/>
      <c r="U18" s="140"/>
      <c r="V18" s="140">
        <f t="shared" si="4"/>
        <v>0</v>
      </c>
    </row>
    <row r="19" spans="1:22" ht="12" customHeight="1">
      <c r="A19" s="110"/>
      <c r="B19" s="280"/>
      <c r="C19" s="315" t="s">
        <v>506</v>
      </c>
      <c r="D19" s="316"/>
      <c r="E19" s="229">
        <v>500</v>
      </c>
      <c r="F19" s="140"/>
      <c r="G19" s="140"/>
      <c r="H19" s="140"/>
      <c r="I19" s="140"/>
      <c r="J19" s="140"/>
      <c r="K19" s="140"/>
      <c r="L19" s="140"/>
      <c r="M19" s="140"/>
      <c r="N19" s="140">
        <f t="shared" si="10"/>
        <v>500</v>
      </c>
      <c r="O19" s="140"/>
      <c r="P19" s="140"/>
      <c r="Q19" s="140"/>
      <c r="R19" s="140">
        <f t="shared" si="3"/>
        <v>0</v>
      </c>
      <c r="S19" s="140"/>
      <c r="T19" s="140"/>
      <c r="U19" s="140"/>
      <c r="V19" s="140">
        <f t="shared" si="4"/>
        <v>0</v>
      </c>
    </row>
    <row r="20" spans="1:22" ht="12" customHeight="1">
      <c r="A20" s="110"/>
      <c r="B20" s="280"/>
      <c r="C20" s="315" t="s">
        <v>760</v>
      </c>
      <c r="D20" s="316"/>
      <c r="E20" s="229"/>
      <c r="F20" s="140"/>
      <c r="G20" s="140">
        <v>10000</v>
      </c>
      <c r="H20" s="140"/>
      <c r="I20" s="140"/>
      <c r="J20" s="140"/>
      <c r="K20" s="140"/>
      <c r="L20" s="140">
        <v>3000</v>
      </c>
      <c r="M20" s="140"/>
      <c r="N20" s="140">
        <f t="shared" si="10"/>
        <v>13000</v>
      </c>
      <c r="O20" s="140"/>
      <c r="P20" s="140"/>
      <c r="Q20" s="140"/>
      <c r="R20" s="140">
        <f t="shared" si="3"/>
        <v>0</v>
      </c>
      <c r="S20" s="140"/>
      <c r="T20" s="140"/>
      <c r="U20" s="140"/>
      <c r="V20" s="140">
        <f t="shared" si="4"/>
        <v>0</v>
      </c>
    </row>
    <row r="21" spans="1:22" s="129" customFormat="1" ht="12.75">
      <c r="A21" s="151"/>
      <c r="B21" s="152" t="s">
        <v>508</v>
      </c>
      <c r="C21" s="291"/>
      <c r="D21" s="292"/>
      <c r="E21" s="156">
        <v>1000</v>
      </c>
      <c r="F21" s="156">
        <v>2000</v>
      </c>
      <c r="G21" s="156">
        <v>2000</v>
      </c>
      <c r="H21" s="156"/>
      <c r="I21" s="156"/>
      <c r="J21" s="156"/>
      <c r="K21" s="156"/>
      <c r="L21" s="156"/>
      <c r="M21" s="156"/>
      <c r="N21" s="156">
        <f t="shared" si="10"/>
        <v>5000</v>
      </c>
      <c r="O21" s="156"/>
      <c r="P21" s="156"/>
      <c r="Q21" s="156"/>
      <c r="R21" s="156">
        <f t="shared" si="3"/>
        <v>0</v>
      </c>
      <c r="S21" s="156"/>
      <c r="T21" s="156"/>
      <c r="U21" s="156"/>
      <c r="V21" s="156">
        <f t="shared" si="4"/>
        <v>0</v>
      </c>
    </row>
    <row r="22" spans="1:22" s="129" customFormat="1" ht="12.75">
      <c r="A22" s="151"/>
      <c r="B22" s="152" t="s">
        <v>47</v>
      </c>
      <c r="C22" s="153"/>
      <c r="D22" s="154"/>
      <c r="E22" s="156">
        <v>2000</v>
      </c>
      <c r="F22" s="156">
        <v>4000</v>
      </c>
      <c r="G22" s="156">
        <v>4000</v>
      </c>
      <c r="H22" s="156"/>
      <c r="I22" s="156"/>
      <c r="J22" s="156"/>
      <c r="K22" s="156"/>
      <c r="L22" s="156"/>
      <c r="M22" s="156"/>
      <c r="N22" s="156">
        <f t="shared" si="10"/>
        <v>10000</v>
      </c>
      <c r="O22" s="156"/>
      <c r="P22" s="156"/>
      <c r="Q22" s="156"/>
      <c r="R22" s="156">
        <f t="shared" si="3"/>
        <v>0</v>
      </c>
      <c r="S22" s="156"/>
      <c r="T22" s="156"/>
      <c r="U22" s="156"/>
      <c r="V22" s="156">
        <f t="shared" si="4"/>
        <v>0</v>
      </c>
    </row>
    <row r="23" spans="1:22" s="129" customFormat="1" ht="12.75">
      <c r="A23" s="151"/>
      <c r="B23" s="158" t="s">
        <v>48</v>
      </c>
      <c r="C23" s="289"/>
      <c r="D23" s="290"/>
      <c r="E23" s="156">
        <f aca="true" t="shared" si="11" ref="E23:M23">SUM(E24:E29)</f>
        <v>0</v>
      </c>
      <c r="F23" s="156">
        <f t="shared" si="11"/>
        <v>0</v>
      </c>
      <c r="G23" s="156">
        <f t="shared" si="11"/>
        <v>0</v>
      </c>
      <c r="H23" s="156">
        <f t="shared" si="11"/>
        <v>0</v>
      </c>
      <c r="I23" s="156">
        <f t="shared" si="11"/>
        <v>0</v>
      </c>
      <c r="J23" s="156">
        <f t="shared" si="11"/>
        <v>0</v>
      </c>
      <c r="K23" s="156">
        <v>15000</v>
      </c>
      <c r="L23" s="156">
        <f t="shared" si="11"/>
        <v>100000</v>
      </c>
      <c r="M23" s="156">
        <f t="shared" si="11"/>
        <v>0</v>
      </c>
      <c r="N23" s="156">
        <f t="shared" si="10"/>
        <v>115000</v>
      </c>
      <c r="O23" s="156">
        <f>SUM(O24:O30)</f>
        <v>0</v>
      </c>
      <c r="P23" s="156">
        <f>SUM(P24:P30)</f>
        <v>20000</v>
      </c>
      <c r="Q23" s="156">
        <f>SUM(Q24:Q30)</f>
        <v>0</v>
      </c>
      <c r="R23" s="156">
        <f>SUM(R24:R30)</f>
        <v>20000</v>
      </c>
      <c r="S23" s="156">
        <f>SUM(S24:S29)</f>
        <v>12000</v>
      </c>
      <c r="T23" s="156">
        <f>SUM(T24:T29)</f>
        <v>0</v>
      </c>
      <c r="U23" s="156">
        <f>SUM(U24:U29)</f>
        <v>0</v>
      </c>
      <c r="V23" s="156">
        <f>SUM(V24:V29)</f>
        <v>12000</v>
      </c>
    </row>
    <row r="24" spans="1:22" ht="12.75">
      <c r="A24" s="110"/>
      <c r="B24" s="166"/>
      <c r="C24" s="315" t="s">
        <v>509</v>
      </c>
      <c r="D24" s="316"/>
      <c r="E24" s="122"/>
      <c r="F24" s="113"/>
      <c r="G24" s="140"/>
      <c r="H24" s="140"/>
      <c r="I24" s="140"/>
      <c r="J24" s="140"/>
      <c r="K24" s="140"/>
      <c r="L24" s="140"/>
      <c r="M24" s="140"/>
      <c r="N24" s="140">
        <f t="shared" si="10"/>
        <v>0</v>
      </c>
      <c r="O24" s="140"/>
      <c r="P24" s="140"/>
      <c r="Q24" s="140"/>
      <c r="R24" s="140">
        <f t="shared" si="3"/>
        <v>0</v>
      </c>
      <c r="S24" s="140"/>
      <c r="T24" s="140"/>
      <c r="U24" s="140"/>
      <c r="V24" s="140">
        <f t="shared" si="4"/>
        <v>0</v>
      </c>
    </row>
    <row r="25" spans="1:22" ht="12.75">
      <c r="A25" s="110"/>
      <c r="B25" s="166"/>
      <c r="C25" s="315" t="s">
        <v>515</v>
      </c>
      <c r="D25" s="316"/>
      <c r="E25" s="122"/>
      <c r="F25" s="113"/>
      <c r="G25" s="140"/>
      <c r="H25" s="140"/>
      <c r="I25" s="140"/>
      <c r="J25" s="140"/>
      <c r="K25" s="140"/>
      <c r="L25" s="140"/>
      <c r="M25" s="140"/>
      <c r="N25" s="140">
        <f t="shared" si="10"/>
        <v>0</v>
      </c>
      <c r="O25" s="140"/>
      <c r="P25" s="140"/>
      <c r="Q25" s="140"/>
      <c r="R25" s="140">
        <f t="shared" si="3"/>
        <v>0</v>
      </c>
      <c r="S25" s="140"/>
      <c r="T25" s="140"/>
      <c r="U25" s="140"/>
      <c r="V25" s="140">
        <f t="shared" si="4"/>
        <v>0</v>
      </c>
    </row>
    <row r="26" spans="1:22" ht="12.75">
      <c r="A26" s="110"/>
      <c r="B26" s="166"/>
      <c r="C26" s="116" t="s">
        <v>516</v>
      </c>
      <c r="D26" s="298"/>
      <c r="E26" s="122"/>
      <c r="F26" s="113"/>
      <c r="G26" s="140"/>
      <c r="H26" s="140"/>
      <c r="I26" s="140"/>
      <c r="J26" s="140"/>
      <c r="K26" s="140"/>
      <c r="L26" s="140"/>
      <c r="M26" s="140"/>
      <c r="N26" s="140">
        <f t="shared" si="10"/>
        <v>0</v>
      </c>
      <c r="O26" s="140"/>
      <c r="P26" s="140"/>
      <c r="Q26" s="140"/>
      <c r="R26" s="140">
        <f t="shared" si="3"/>
        <v>0</v>
      </c>
      <c r="S26" s="140"/>
      <c r="T26" s="140"/>
      <c r="U26" s="140"/>
      <c r="V26" s="140">
        <f t="shared" si="4"/>
        <v>0</v>
      </c>
    </row>
    <row r="27" spans="1:22" ht="12.75">
      <c r="A27" s="110"/>
      <c r="B27" s="166"/>
      <c r="C27" s="116" t="s">
        <v>517</v>
      </c>
      <c r="D27" s="298"/>
      <c r="E27" s="122"/>
      <c r="F27" s="113"/>
      <c r="G27" s="140"/>
      <c r="H27" s="140"/>
      <c r="I27" s="140"/>
      <c r="J27" s="140"/>
      <c r="K27" s="140"/>
      <c r="L27" s="140"/>
      <c r="M27" s="140"/>
      <c r="N27" s="140">
        <f t="shared" si="10"/>
        <v>0</v>
      </c>
      <c r="O27" s="140"/>
      <c r="P27" s="140"/>
      <c r="Q27" s="140"/>
      <c r="R27" s="140">
        <f t="shared" si="3"/>
        <v>0</v>
      </c>
      <c r="S27" s="140"/>
      <c r="T27" s="140"/>
      <c r="U27" s="140"/>
      <c r="V27" s="140">
        <f t="shared" si="4"/>
        <v>0</v>
      </c>
    </row>
    <row r="28" spans="1:22" ht="12.75">
      <c r="A28" s="110"/>
      <c r="B28" s="166"/>
      <c r="C28" s="116" t="s">
        <v>518</v>
      </c>
      <c r="D28" s="298"/>
      <c r="E28" s="122"/>
      <c r="F28" s="113"/>
      <c r="G28" s="140"/>
      <c r="H28" s="140"/>
      <c r="I28" s="140"/>
      <c r="J28" s="140"/>
      <c r="K28" s="140">
        <v>15000</v>
      </c>
      <c r="L28" s="140"/>
      <c r="M28" s="140"/>
      <c r="N28" s="140">
        <f t="shared" si="10"/>
        <v>15000</v>
      </c>
      <c r="O28" s="140"/>
      <c r="P28" s="140"/>
      <c r="Q28" s="140"/>
      <c r="R28" s="140">
        <f t="shared" si="3"/>
        <v>0</v>
      </c>
      <c r="S28" s="140"/>
      <c r="T28" s="140"/>
      <c r="U28" s="140"/>
      <c r="V28" s="140">
        <f t="shared" si="4"/>
        <v>0</v>
      </c>
    </row>
    <row r="29" spans="1:22" ht="12.75">
      <c r="A29" s="110"/>
      <c r="B29" s="166"/>
      <c r="C29" s="116" t="s">
        <v>632</v>
      </c>
      <c r="D29" s="298"/>
      <c r="E29" s="122"/>
      <c r="F29" s="113"/>
      <c r="G29" s="140"/>
      <c r="H29" s="140"/>
      <c r="I29" s="140"/>
      <c r="J29" s="140"/>
      <c r="K29" s="140"/>
      <c r="L29" s="140">
        <v>100000</v>
      </c>
      <c r="M29" s="140"/>
      <c r="N29" s="140">
        <f t="shared" si="10"/>
        <v>100000</v>
      </c>
      <c r="O29" s="140"/>
      <c r="P29" s="140"/>
      <c r="Q29" s="140"/>
      <c r="R29" s="140">
        <f t="shared" si="3"/>
        <v>0</v>
      </c>
      <c r="S29" s="140">
        <v>12000</v>
      </c>
      <c r="T29" s="140"/>
      <c r="U29" s="140"/>
      <c r="V29" s="140">
        <f t="shared" si="4"/>
        <v>12000</v>
      </c>
    </row>
    <row r="30" spans="1:22" s="129" customFormat="1" ht="12.75">
      <c r="A30" s="151"/>
      <c r="B30" s="161" t="s">
        <v>49</v>
      </c>
      <c r="C30" s="158"/>
      <c r="D30" s="159"/>
      <c r="E30" s="160"/>
      <c r="F30" s="160"/>
      <c r="G30" s="156"/>
      <c r="H30" s="156"/>
      <c r="I30" s="156"/>
      <c r="J30" s="156"/>
      <c r="K30" s="156"/>
      <c r="L30" s="156"/>
      <c r="M30" s="156"/>
      <c r="N30" s="156">
        <f t="shared" si="10"/>
        <v>0</v>
      </c>
      <c r="O30" s="156"/>
      <c r="P30" s="156">
        <v>20000</v>
      </c>
      <c r="Q30" s="156"/>
      <c r="R30" s="156">
        <f t="shared" si="3"/>
        <v>20000</v>
      </c>
      <c r="S30" s="156">
        <v>52000</v>
      </c>
      <c r="T30" s="156">
        <v>17000</v>
      </c>
      <c r="U30" s="156">
        <v>7000</v>
      </c>
      <c r="V30" s="156">
        <f t="shared" si="4"/>
        <v>76000</v>
      </c>
    </row>
    <row r="31" spans="1:22" s="129" customFormat="1" ht="12.75">
      <c r="A31" s="151"/>
      <c r="B31" s="161" t="s">
        <v>374</v>
      </c>
      <c r="C31" s="164"/>
      <c r="D31" s="165"/>
      <c r="E31" s="156">
        <f aca="true" t="shared" si="12" ref="E31:J31">SUM(E32:E34)</f>
        <v>0</v>
      </c>
      <c r="F31" s="156">
        <f t="shared" si="12"/>
        <v>11000</v>
      </c>
      <c r="G31" s="156">
        <f t="shared" si="12"/>
        <v>11000</v>
      </c>
      <c r="H31" s="156">
        <f t="shared" si="12"/>
        <v>0</v>
      </c>
      <c r="I31" s="156">
        <f t="shared" si="12"/>
        <v>0</v>
      </c>
      <c r="J31" s="156">
        <f t="shared" si="12"/>
        <v>6000</v>
      </c>
      <c r="K31" s="156"/>
      <c r="L31" s="156">
        <f>SUM(L32:L34)</f>
        <v>6000</v>
      </c>
      <c r="M31" s="156">
        <f>SUM(M32:M34)</f>
        <v>0</v>
      </c>
      <c r="N31" s="156">
        <f t="shared" si="10"/>
        <v>34000</v>
      </c>
      <c r="O31" s="156">
        <f aca="true" t="shared" si="13" ref="O31:V31">SUM(O32:O34)</f>
        <v>0</v>
      </c>
      <c r="P31" s="156">
        <f t="shared" si="13"/>
        <v>4000</v>
      </c>
      <c r="Q31" s="156">
        <f t="shared" si="13"/>
        <v>0</v>
      </c>
      <c r="R31" s="156">
        <f t="shared" si="13"/>
        <v>4000</v>
      </c>
      <c r="S31" s="156">
        <f t="shared" si="13"/>
        <v>24000</v>
      </c>
      <c r="T31" s="156">
        <f t="shared" si="13"/>
        <v>0</v>
      </c>
      <c r="U31" s="156">
        <f t="shared" si="13"/>
        <v>3000</v>
      </c>
      <c r="V31" s="156">
        <f t="shared" si="13"/>
        <v>27000</v>
      </c>
    </row>
    <row r="32" spans="1:22" ht="12.75">
      <c r="A32" s="110"/>
      <c r="B32" s="116"/>
      <c r="C32" s="116" t="s">
        <v>520</v>
      </c>
      <c r="D32" s="298"/>
      <c r="E32" s="122"/>
      <c r="F32" s="113"/>
      <c r="G32" s="140"/>
      <c r="H32" s="140"/>
      <c r="I32" s="140"/>
      <c r="J32" s="140">
        <v>5000</v>
      </c>
      <c r="K32" s="140"/>
      <c r="L32" s="140">
        <v>5000</v>
      </c>
      <c r="M32" s="140"/>
      <c r="N32" s="140">
        <f t="shared" si="10"/>
        <v>10000</v>
      </c>
      <c r="O32" s="140"/>
      <c r="P32" s="140"/>
      <c r="Q32" s="140"/>
      <c r="R32" s="140">
        <f t="shared" si="3"/>
        <v>0</v>
      </c>
      <c r="S32" s="140"/>
      <c r="T32" s="140"/>
      <c r="U32" s="140"/>
      <c r="V32" s="140">
        <f t="shared" si="4"/>
        <v>0</v>
      </c>
    </row>
    <row r="33" spans="1:22" ht="12.75">
      <c r="A33" s="110"/>
      <c r="B33" s="116"/>
      <c r="C33" s="116" t="s">
        <v>521</v>
      </c>
      <c r="D33" s="298"/>
      <c r="E33" s="229"/>
      <c r="F33" s="140"/>
      <c r="G33" s="140"/>
      <c r="H33" s="140"/>
      <c r="I33" s="140"/>
      <c r="J33" s="140">
        <v>1000</v>
      </c>
      <c r="K33" s="140"/>
      <c r="L33" s="140">
        <v>1000</v>
      </c>
      <c r="M33" s="140"/>
      <c r="N33" s="140">
        <f t="shared" si="10"/>
        <v>2000</v>
      </c>
      <c r="O33" s="140"/>
      <c r="P33" s="140"/>
      <c r="Q33" s="140"/>
      <c r="R33" s="140">
        <f t="shared" si="3"/>
        <v>0</v>
      </c>
      <c r="S33" s="140"/>
      <c r="T33" s="140"/>
      <c r="U33" s="140"/>
      <c r="V33" s="140">
        <f t="shared" si="4"/>
        <v>0</v>
      </c>
    </row>
    <row r="34" spans="1:22" ht="12.75">
      <c r="A34" s="110"/>
      <c r="B34" s="116"/>
      <c r="C34" s="116" t="s">
        <v>522</v>
      </c>
      <c r="D34" s="298"/>
      <c r="E34" s="229"/>
      <c r="F34" s="140">
        <v>11000</v>
      </c>
      <c r="G34" s="140">
        <f>1000*11</f>
        <v>11000</v>
      </c>
      <c r="H34" s="140"/>
      <c r="I34" s="140"/>
      <c r="J34" s="140"/>
      <c r="K34" s="140"/>
      <c r="L34" s="140"/>
      <c r="M34" s="140"/>
      <c r="N34" s="140">
        <f t="shared" si="10"/>
        <v>22000</v>
      </c>
      <c r="O34" s="140"/>
      <c r="P34" s="140">
        <v>4000</v>
      </c>
      <c r="Q34" s="140"/>
      <c r="R34" s="140">
        <f t="shared" si="3"/>
        <v>4000</v>
      </c>
      <c r="S34" s="140">
        <f>12000*2</f>
        <v>24000</v>
      </c>
      <c r="T34" s="140"/>
      <c r="U34" s="140">
        <v>3000</v>
      </c>
      <c r="V34" s="140">
        <f t="shared" si="4"/>
        <v>27000</v>
      </c>
    </row>
    <row r="35" spans="1:22" s="129" customFormat="1" ht="12.75">
      <c r="A35" s="151"/>
      <c r="B35" s="161" t="s">
        <v>512</v>
      </c>
      <c r="C35" s="158"/>
      <c r="D35" s="159"/>
      <c r="E35" s="156">
        <f aca="true" t="shared" si="14" ref="E35:J35">SUM(E36:E38)</f>
        <v>7000</v>
      </c>
      <c r="F35" s="156">
        <f t="shared" si="14"/>
        <v>0</v>
      </c>
      <c r="G35" s="156">
        <f t="shared" si="14"/>
        <v>0</v>
      </c>
      <c r="H35" s="156">
        <f t="shared" si="14"/>
        <v>0</v>
      </c>
      <c r="I35" s="156">
        <f t="shared" si="14"/>
        <v>0</v>
      </c>
      <c r="J35" s="156">
        <f t="shared" si="14"/>
        <v>0</v>
      </c>
      <c r="K35" s="156"/>
      <c r="L35" s="156">
        <f>SUM(L36:L38)</f>
        <v>0</v>
      </c>
      <c r="M35" s="156">
        <f>SUM(M36:M38)</f>
        <v>0</v>
      </c>
      <c r="N35" s="156">
        <f t="shared" si="10"/>
        <v>7000</v>
      </c>
      <c r="O35" s="156">
        <f aca="true" t="shared" si="15" ref="O35:V35">SUM(O36:O38)</f>
        <v>0</v>
      </c>
      <c r="P35" s="156">
        <f t="shared" si="15"/>
        <v>0</v>
      </c>
      <c r="Q35" s="156">
        <f t="shared" si="15"/>
        <v>0</v>
      </c>
      <c r="R35" s="156">
        <f t="shared" si="15"/>
        <v>0</v>
      </c>
      <c r="S35" s="156">
        <f t="shared" si="15"/>
        <v>0</v>
      </c>
      <c r="T35" s="156">
        <f t="shared" si="15"/>
        <v>0</v>
      </c>
      <c r="U35" s="156">
        <f t="shared" si="15"/>
        <v>0</v>
      </c>
      <c r="V35" s="156">
        <f t="shared" si="15"/>
        <v>0</v>
      </c>
    </row>
    <row r="36" spans="1:22" ht="12.75" hidden="1">
      <c r="A36" s="110"/>
      <c r="B36" s="111"/>
      <c r="C36" s="114" t="s">
        <v>523</v>
      </c>
      <c r="D36" s="115"/>
      <c r="E36" s="140"/>
      <c r="F36" s="140"/>
      <c r="G36" s="140"/>
      <c r="H36" s="140"/>
      <c r="I36" s="140"/>
      <c r="J36" s="140"/>
      <c r="K36" s="140"/>
      <c r="L36" s="140"/>
      <c r="M36" s="140"/>
      <c r="N36" s="140">
        <f t="shared" si="10"/>
        <v>0</v>
      </c>
      <c r="O36" s="140"/>
      <c r="P36" s="140"/>
      <c r="Q36" s="140"/>
      <c r="R36" s="140">
        <f t="shared" si="3"/>
        <v>0</v>
      </c>
      <c r="S36" s="140"/>
      <c r="T36" s="140"/>
      <c r="U36" s="140"/>
      <c r="V36" s="140">
        <f t="shared" si="4"/>
        <v>0</v>
      </c>
    </row>
    <row r="37" spans="1:22" ht="12.75">
      <c r="A37" s="110"/>
      <c r="B37" s="116"/>
      <c r="C37" s="116" t="s">
        <v>524</v>
      </c>
      <c r="D37" s="298"/>
      <c r="E37" s="229">
        <v>7000</v>
      </c>
      <c r="F37" s="140"/>
      <c r="G37" s="140"/>
      <c r="H37" s="140"/>
      <c r="I37" s="140"/>
      <c r="J37" s="140"/>
      <c r="K37" s="140"/>
      <c r="L37" s="140"/>
      <c r="M37" s="140"/>
      <c r="N37" s="140">
        <f t="shared" si="10"/>
        <v>7000</v>
      </c>
      <c r="O37" s="140"/>
      <c r="P37" s="140"/>
      <c r="Q37" s="140"/>
      <c r="R37" s="140">
        <f t="shared" si="3"/>
        <v>0</v>
      </c>
      <c r="S37" s="140"/>
      <c r="T37" s="140"/>
      <c r="U37" s="140"/>
      <c r="V37" s="140">
        <f t="shared" si="4"/>
        <v>0</v>
      </c>
    </row>
    <row r="38" spans="1:22" ht="12.75" hidden="1">
      <c r="A38" s="110"/>
      <c r="B38" s="111"/>
      <c r="C38" s="119" t="s">
        <v>525</v>
      </c>
      <c r="D38" s="120"/>
      <c r="E38" s="140"/>
      <c r="F38" s="140"/>
      <c r="G38" s="140"/>
      <c r="H38" s="140"/>
      <c r="I38" s="140"/>
      <c r="J38" s="140"/>
      <c r="K38" s="140"/>
      <c r="L38" s="140"/>
      <c r="M38" s="140"/>
      <c r="N38" s="140">
        <f t="shared" si="10"/>
        <v>0</v>
      </c>
      <c r="O38" s="140"/>
      <c r="P38" s="140"/>
      <c r="Q38" s="140"/>
      <c r="R38" s="140">
        <f t="shared" si="3"/>
        <v>0</v>
      </c>
      <c r="S38" s="140"/>
      <c r="T38" s="140"/>
      <c r="U38" s="140"/>
      <c r="V38" s="140">
        <f t="shared" si="4"/>
        <v>0</v>
      </c>
    </row>
    <row r="39" spans="1:22" s="129" customFormat="1" ht="12.75">
      <c r="A39" s="151"/>
      <c r="B39" s="161" t="s">
        <v>631</v>
      </c>
      <c r="C39" s="161"/>
      <c r="D39" s="162"/>
      <c r="E39" s="156">
        <f aca="true" t="shared" si="16" ref="E39:J39">SUM(E40:E41)</f>
        <v>2000</v>
      </c>
      <c r="F39" s="156">
        <f t="shared" si="16"/>
        <v>0</v>
      </c>
      <c r="G39" s="156">
        <f t="shared" si="16"/>
        <v>0</v>
      </c>
      <c r="H39" s="156">
        <f t="shared" si="16"/>
        <v>0</v>
      </c>
      <c r="I39" s="156">
        <f t="shared" si="16"/>
        <v>0</v>
      </c>
      <c r="J39" s="156">
        <f t="shared" si="16"/>
        <v>0</v>
      </c>
      <c r="K39" s="156"/>
      <c r="L39" s="156">
        <f>SUM(L40:L41)</f>
        <v>4000</v>
      </c>
      <c r="M39" s="156">
        <f>SUM(M40:M41)</f>
        <v>0</v>
      </c>
      <c r="N39" s="156">
        <f t="shared" si="10"/>
        <v>6000</v>
      </c>
      <c r="O39" s="156">
        <f aca="true" t="shared" si="17" ref="O39:V39">SUM(O40:O41)</f>
        <v>0</v>
      </c>
      <c r="P39" s="156">
        <f t="shared" si="17"/>
        <v>4000</v>
      </c>
      <c r="Q39" s="156">
        <f t="shared" si="17"/>
        <v>0</v>
      </c>
      <c r="R39" s="156">
        <f t="shared" si="17"/>
        <v>4000</v>
      </c>
      <c r="S39" s="156">
        <f t="shared" si="17"/>
        <v>0</v>
      </c>
      <c r="T39" s="156">
        <f t="shared" si="17"/>
        <v>0</v>
      </c>
      <c r="U39" s="156">
        <f t="shared" si="17"/>
        <v>0</v>
      </c>
      <c r="V39" s="156">
        <f t="shared" si="17"/>
        <v>0</v>
      </c>
    </row>
    <row r="40" spans="1:22" ht="12.75">
      <c r="A40" s="110"/>
      <c r="B40" s="111"/>
      <c r="C40" s="111" t="s">
        <v>526</v>
      </c>
      <c r="D40" s="112"/>
      <c r="E40" s="140">
        <v>1000</v>
      </c>
      <c r="F40" s="140"/>
      <c r="G40" s="140"/>
      <c r="H40" s="140"/>
      <c r="I40" s="140"/>
      <c r="J40" s="140"/>
      <c r="K40" s="140"/>
      <c r="L40" s="140"/>
      <c r="M40" s="140"/>
      <c r="N40" s="140">
        <f t="shared" si="10"/>
        <v>1000</v>
      </c>
      <c r="O40" s="140"/>
      <c r="P40" s="140"/>
      <c r="Q40" s="140"/>
      <c r="R40" s="140">
        <f t="shared" si="3"/>
        <v>0</v>
      </c>
      <c r="S40" s="140"/>
      <c r="T40" s="140"/>
      <c r="U40" s="140"/>
      <c r="V40" s="140">
        <f t="shared" si="4"/>
        <v>0</v>
      </c>
    </row>
    <row r="41" spans="1:22" ht="13.5" thickBot="1">
      <c r="A41" s="110"/>
      <c r="B41" s="114"/>
      <c r="C41" s="114" t="s">
        <v>527</v>
      </c>
      <c r="D41" s="115"/>
      <c r="E41" s="140">
        <v>1000</v>
      </c>
      <c r="F41" s="140"/>
      <c r="G41" s="140"/>
      <c r="H41" s="140"/>
      <c r="I41" s="140"/>
      <c r="J41" s="140"/>
      <c r="K41" s="140"/>
      <c r="L41" s="140">
        <v>4000</v>
      </c>
      <c r="M41" s="140"/>
      <c r="N41" s="140">
        <f t="shared" si="10"/>
        <v>5000</v>
      </c>
      <c r="O41" s="140"/>
      <c r="P41" s="140">
        <v>4000</v>
      </c>
      <c r="Q41" s="140"/>
      <c r="R41" s="140">
        <f t="shared" si="3"/>
        <v>4000</v>
      </c>
      <c r="S41" s="140"/>
      <c r="T41" s="140"/>
      <c r="U41" s="140"/>
      <c r="V41" s="140">
        <f t="shared" si="4"/>
        <v>0</v>
      </c>
    </row>
    <row r="42" spans="1:22" ht="13.5" hidden="1" thickBot="1">
      <c r="A42" s="110"/>
      <c r="B42" s="299" t="s">
        <v>51</v>
      </c>
      <c r="C42" s="300"/>
      <c r="D42" s="301"/>
      <c r="E42" s="302"/>
      <c r="F42" s="303"/>
      <c r="G42" s="304"/>
      <c r="H42" s="304"/>
      <c r="I42" s="304"/>
      <c r="J42" s="304"/>
      <c r="K42" s="304"/>
      <c r="L42" s="304"/>
      <c r="M42" s="304"/>
      <c r="N42" s="304">
        <f t="shared" si="10"/>
        <v>0</v>
      </c>
      <c r="O42" s="304"/>
      <c r="P42" s="304"/>
      <c r="Q42" s="304"/>
      <c r="R42" s="304">
        <f t="shared" si="3"/>
        <v>0</v>
      </c>
      <c r="S42" s="304"/>
      <c r="T42" s="304"/>
      <c r="U42" s="304"/>
      <c r="V42" s="305">
        <f t="shared" si="4"/>
        <v>0</v>
      </c>
    </row>
    <row r="43" spans="1:22" s="129" customFormat="1" ht="13.5" thickBot="1">
      <c r="A43" s="169" t="s">
        <v>536</v>
      </c>
      <c r="B43" s="108"/>
      <c r="C43" s="108"/>
      <c r="D43" s="108"/>
      <c r="E43" s="138">
        <f aca="true" t="shared" si="18" ref="E43:L43">SUM(E44:E47)</f>
        <v>100000</v>
      </c>
      <c r="F43" s="138">
        <f t="shared" si="18"/>
        <v>0</v>
      </c>
      <c r="G43" s="231">
        <f t="shared" si="18"/>
        <v>0</v>
      </c>
      <c r="H43" s="231">
        <f t="shared" si="18"/>
        <v>100000</v>
      </c>
      <c r="I43" s="231">
        <f t="shared" si="18"/>
        <v>0</v>
      </c>
      <c r="J43" s="231">
        <f t="shared" si="18"/>
        <v>50000</v>
      </c>
      <c r="K43" s="231"/>
      <c r="L43" s="231">
        <f t="shared" si="18"/>
        <v>0</v>
      </c>
      <c r="M43" s="231">
        <f>SUM(M44:M47)</f>
        <v>12000</v>
      </c>
      <c r="N43" s="231">
        <f t="shared" si="10"/>
        <v>262000</v>
      </c>
      <c r="O43" s="231">
        <f>SUM(O44:O47)</f>
        <v>6000</v>
      </c>
      <c r="P43" s="231">
        <f>SUM(P44:P47)</f>
        <v>0</v>
      </c>
      <c r="Q43" s="231">
        <f>SUM(Q44:Q47)</f>
        <v>0</v>
      </c>
      <c r="R43" s="231">
        <f t="shared" si="3"/>
        <v>6000</v>
      </c>
      <c r="S43" s="231">
        <f>SUM(S44:S48)</f>
        <v>0</v>
      </c>
      <c r="T43" s="231">
        <f>SUM(T44:T48)</f>
        <v>10000</v>
      </c>
      <c r="U43" s="231">
        <f>SUM(U44:U48)</f>
        <v>0</v>
      </c>
      <c r="V43" s="313">
        <f>SUM(V44:V48)</f>
        <v>10000</v>
      </c>
    </row>
    <row r="44" spans="1:22" ht="13.5" thickBot="1">
      <c r="A44" s="119" t="s">
        <v>54</v>
      </c>
      <c r="B44" s="119"/>
      <c r="C44" s="119"/>
      <c r="D44" s="166"/>
      <c r="E44" s="139">
        <f>100000</f>
        <v>100000</v>
      </c>
      <c r="F44" s="139"/>
      <c r="G44" s="139"/>
      <c r="H44" s="139">
        <f>100000</f>
        <v>100000</v>
      </c>
      <c r="I44" s="139"/>
      <c r="J44" s="139">
        <v>50000</v>
      </c>
      <c r="K44" s="139"/>
      <c r="L44" s="139"/>
      <c r="M44" s="139">
        <v>12000</v>
      </c>
      <c r="N44" s="139">
        <f t="shared" si="10"/>
        <v>262000</v>
      </c>
      <c r="O44" s="139">
        <v>6000</v>
      </c>
      <c r="P44" s="139"/>
      <c r="Q44" s="139"/>
      <c r="R44" s="139">
        <f t="shared" si="3"/>
        <v>6000</v>
      </c>
      <c r="S44" s="139"/>
      <c r="T44" s="139">
        <v>10000</v>
      </c>
      <c r="U44" s="139"/>
      <c r="V44" s="139">
        <f t="shared" si="4"/>
        <v>10000</v>
      </c>
    </row>
    <row r="45" spans="1:22" ht="12.75" hidden="1">
      <c r="A45" s="116"/>
      <c r="B45" s="117" t="s">
        <v>55</v>
      </c>
      <c r="C45" s="117"/>
      <c r="D45" s="117"/>
      <c r="E45" s="113"/>
      <c r="F45" s="113"/>
      <c r="G45" s="140"/>
      <c r="H45" s="140"/>
      <c r="I45" s="140"/>
      <c r="J45" s="140"/>
      <c r="K45" s="140"/>
      <c r="L45" s="140"/>
      <c r="M45" s="140"/>
      <c r="N45" s="140">
        <f t="shared" si="10"/>
        <v>0</v>
      </c>
      <c r="O45" s="140"/>
      <c r="P45" s="140"/>
      <c r="Q45" s="140"/>
      <c r="R45" s="140">
        <f t="shared" si="3"/>
        <v>0</v>
      </c>
      <c r="S45" s="140"/>
      <c r="T45" s="140"/>
      <c r="U45" s="140"/>
      <c r="V45" s="140">
        <f t="shared" si="4"/>
        <v>0</v>
      </c>
    </row>
    <row r="46" spans="1:22" ht="12.75" hidden="1">
      <c r="A46" s="116"/>
      <c r="B46" s="117" t="s">
        <v>28</v>
      </c>
      <c r="C46" s="117"/>
      <c r="D46" s="117"/>
      <c r="E46" s="113"/>
      <c r="F46" s="113"/>
      <c r="G46" s="140"/>
      <c r="H46" s="140"/>
      <c r="I46" s="140"/>
      <c r="J46" s="140"/>
      <c r="K46" s="140"/>
      <c r="L46" s="140"/>
      <c r="M46" s="140"/>
      <c r="N46" s="140">
        <f t="shared" si="10"/>
        <v>0</v>
      </c>
      <c r="O46" s="140"/>
      <c r="P46" s="140"/>
      <c r="Q46" s="140"/>
      <c r="R46" s="140">
        <f t="shared" si="3"/>
        <v>0</v>
      </c>
      <c r="S46" s="140"/>
      <c r="T46" s="140"/>
      <c r="U46" s="140"/>
      <c r="V46" s="140">
        <f t="shared" si="4"/>
        <v>0</v>
      </c>
    </row>
    <row r="47" spans="1:22" ht="12.75" hidden="1">
      <c r="A47" s="119" t="s">
        <v>56</v>
      </c>
      <c r="B47" s="125"/>
      <c r="C47" s="119"/>
      <c r="D47" s="166"/>
      <c r="E47" s="140"/>
      <c r="F47" s="140"/>
      <c r="G47" s="140"/>
      <c r="H47" s="140"/>
      <c r="I47" s="140"/>
      <c r="J47" s="140"/>
      <c r="K47" s="140"/>
      <c r="L47" s="140"/>
      <c r="M47" s="140"/>
      <c r="N47" s="140">
        <f t="shared" si="10"/>
        <v>0</v>
      </c>
      <c r="O47" s="140"/>
      <c r="P47" s="140"/>
      <c r="Q47" s="140"/>
      <c r="R47" s="140">
        <f t="shared" si="3"/>
        <v>0</v>
      </c>
      <c r="S47" s="140"/>
      <c r="T47" s="140"/>
      <c r="U47" s="140"/>
      <c r="V47" s="140">
        <f t="shared" si="4"/>
        <v>0</v>
      </c>
    </row>
    <row r="48" spans="1:22" ht="13.5" hidden="1" thickBot="1">
      <c r="A48" s="111" t="s">
        <v>514</v>
      </c>
      <c r="B48" s="253"/>
      <c r="C48" s="114"/>
      <c r="D48" s="255"/>
      <c r="E48" s="141"/>
      <c r="F48" s="141"/>
      <c r="G48" s="141"/>
      <c r="H48" s="141"/>
      <c r="I48" s="141"/>
      <c r="J48" s="141"/>
      <c r="K48" s="141"/>
      <c r="L48" s="141"/>
      <c r="M48" s="141"/>
      <c r="N48" s="141">
        <f t="shared" si="10"/>
        <v>0</v>
      </c>
      <c r="O48" s="141"/>
      <c r="P48" s="141"/>
      <c r="Q48" s="141"/>
      <c r="R48" s="141">
        <f t="shared" si="3"/>
        <v>0</v>
      </c>
      <c r="S48" s="141"/>
      <c r="T48" s="141"/>
      <c r="U48" s="141"/>
      <c r="V48" s="141">
        <f t="shared" si="4"/>
        <v>0</v>
      </c>
    </row>
    <row r="49" spans="1:22" ht="13.5" hidden="1" thickBot="1">
      <c r="A49" s="295" t="s">
        <v>530</v>
      </c>
      <c r="B49" s="299"/>
      <c r="C49" s="295"/>
      <c r="D49" s="295"/>
      <c r="E49" s="296"/>
      <c r="F49" s="296"/>
      <c r="G49" s="296"/>
      <c r="H49" s="296"/>
      <c r="I49" s="296"/>
      <c r="J49" s="296"/>
      <c r="K49" s="296"/>
      <c r="L49" s="307"/>
      <c r="M49" s="307"/>
      <c r="N49" s="296">
        <f t="shared" si="10"/>
        <v>0</v>
      </c>
      <c r="O49" s="306"/>
      <c r="P49" s="296"/>
      <c r="Q49" s="296"/>
      <c r="R49" s="296">
        <f t="shared" si="3"/>
        <v>0</v>
      </c>
      <c r="S49" s="306"/>
      <c r="T49" s="296"/>
      <c r="U49" s="296"/>
      <c r="V49" s="297">
        <f t="shared" si="4"/>
        <v>0</v>
      </c>
    </row>
    <row r="50" spans="1:22" ht="13.5" thickBot="1">
      <c r="A50" s="294" t="s">
        <v>601</v>
      </c>
      <c r="B50" s="295"/>
      <c r="C50" s="295"/>
      <c r="D50" s="295"/>
      <c r="E50" s="296">
        <v>4000</v>
      </c>
      <c r="F50" s="296"/>
      <c r="G50" s="296"/>
      <c r="H50" s="296"/>
      <c r="I50" s="296">
        <f>200000+120000-217000-3000</f>
        <v>100000</v>
      </c>
      <c r="J50" s="296"/>
      <c r="K50" s="296"/>
      <c r="L50" s="307"/>
      <c r="M50" s="307"/>
      <c r="N50" s="296">
        <f t="shared" si="10"/>
        <v>104000</v>
      </c>
      <c r="O50" s="306"/>
      <c r="P50" s="296"/>
      <c r="Q50" s="296">
        <v>100000</v>
      </c>
      <c r="R50" s="296">
        <f t="shared" si="3"/>
        <v>100000</v>
      </c>
      <c r="S50" s="306"/>
      <c r="T50" s="296"/>
      <c r="U50" s="296"/>
      <c r="V50" s="297">
        <f t="shared" si="4"/>
        <v>0</v>
      </c>
    </row>
    <row r="51" spans="1:21" s="128" customFormat="1" ht="12.75" hidden="1">
      <c r="A51" s="110"/>
      <c r="C51" s="110"/>
      <c r="D51" s="110"/>
      <c r="E51" s="133"/>
      <c r="F51" s="133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</row>
    <row r="52" s="128" customFormat="1" ht="12.75">
      <c r="B52" s="110"/>
    </row>
  </sheetData>
  <printOptions/>
  <pageMargins left="0.15748031496062992" right="0.15748031496062992" top="0.1968503937007874" bottom="0.1968503937007874" header="0.11811023622047245" footer="0.11811023622047245"/>
  <pageSetup horizontalDpi="300" verticalDpi="300" orientation="landscape" paperSize="9" scale="87" r:id="rId1"/>
  <headerFooter alignWithMargins="0">
    <oddHeader>&amp;R&amp;D&amp;D&amp;T&amp;T&amp;F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M65"/>
  <sheetViews>
    <sheetView workbookViewId="0" topLeftCell="A1">
      <pane xSplit="4" ySplit="5" topLeftCell="E49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IV16384"/>
    </sheetView>
  </sheetViews>
  <sheetFormatPr defaultColWidth="9.140625" defaultRowHeight="12.75"/>
  <cols>
    <col min="1" max="1" width="1.57421875" style="93" customWidth="1"/>
    <col min="2" max="2" width="4.421875" style="93" customWidth="1"/>
    <col min="3" max="3" width="9.140625" style="93" customWidth="1"/>
    <col min="4" max="4" width="23.57421875" style="93" customWidth="1"/>
    <col min="5" max="5" width="7.00390625" style="93" bestFit="1" customWidth="1"/>
    <col min="6" max="6" width="6.00390625" style="93" bestFit="1" customWidth="1"/>
    <col min="7" max="7" width="7.00390625" style="93" hidden="1" customWidth="1"/>
    <col min="8" max="9" width="7.00390625" style="93" bestFit="1" customWidth="1"/>
    <col min="10" max="10" width="7.00390625" style="93" customWidth="1"/>
    <col min="11" max="11" width="7.00390625" style="93" bestFit="1" customWidth="1"/>
    <col min="12" max="12" width="7.57421875" style="132" bestFit="1" customWidth="1"/>
    <col min="13" max="13" width="9.421875" style="93" bestFit="1" customWidth="1"/>
    <col min="14" max="16384" width="9.140625" style="93" customWidth="1"/>
  </cols>
  <sheetData>
    <row r="2" spans="2:12" s="104" customFormat="1" ht="15.75">
      <c r="B2" s="103" t="s">
        <v>537</v>
      </c>
      <c r="L2" s="320"/>
    </row>
    <row r="3" spans="1:13" s="129" customFormat="1" ht="141" thickBot="1">
      <c r="A3" s="249"/>
      <c r="B3" s="276"/>
      <c r="C3" s="250"/>
      <c r="D3" s="251"/>
      <c r="E3" s="252" t="s">
        <v>538</v>
      </c>
      <c r="F3" s="252" t="s">
        <v>539</v>
      </c>
      <c r="G3" s="252" t="s">
        <v>540</v>
      </c>
      <c r="H3" s="252" t="s">
        <v>636</v>
      </c>
      <c r="I3" s="252" t="s">
        <v>637</v>
      </c>
      <c r="J3" s="252" t="s">
        <v>654</v>
      </c>
      <c r="K3" s="252" t="s">
        <v>638</v>
      </c>
      <c r="L3" s="260" t="s">
        <v>733</v>
      </c>
      <c r="M3" s="261" t="s">
        <v>434</v>
      </c>
    </row>
    <row r="4" spans="1:13" s="129" customFormat="1" ht="13.5" thickBot="1">
      <c r="A4" s="169" t="s">
        <v>40</v>
      </c>
      <c r="B4" s="109"/>
      <c r="C4" s="108"/>
      <c r="D4" s="108"/>
      <c r="E4" s="138">
        <f aca="true" t="shared" si="0" ref="E4:L4">E59+E56+E55+E49+E12+E5</f>
        <v>692952.025</v>
      </c>
      <c r="F4" s="138">
        <f t="shared" si="0"/>
        <v>53740</v>
      </c>
      <c r="G4" s="138">
        <f t="shared" si="0"/>
        <v>0</v>
      </c>
      <c r="H4" s="138">
        <f t="shared" si="0"/>
        <v>351175.5</v>
      </c>
      <c r="I4" s="138">
        <f t="shared" si="0"/>
        <v>109305.2</v>
      </c>
      <c r="J4" s="138">
        <f t="shared" si="0"/>
        <v>94000</v>
      </c>
      <c r="K4" s="138">
        <f t="shared" si="0"/>
        <v>100000</v>
      </c>
      <c r="L4" s="142">
        <f t="shared" si="0"/>
        <v>753895.29</v>
      </c>
      <c r="M4" s="248">
        <f>SUM(E4:L4)</f>
        <v>2155068.0149999997</v>
      </c>
    </row>
    <row r="5" spans="1:13" s="129" customFormat="1" ht="14.25" thickBot="1">
      <c r="A5" s="169" t="s">
        <v>534</v>
      </c>
      <c r="B5" s="108"/>
      <c r="C5" s="108"/>
      <c r="D5" s="108"/>
      <c r="E5" s="138">
        <f aca="true" t="shared" si="1" ref="E5:J5">SUM(E6:E11)</f>
        <v>479552.025</v>
      </c>
      <c r="F5" s="142">
        <f t="shared" si="1"/>
        <v>32040</v>
      </c>
      <c r="G5" s="142">
        <f t="shared" si="1"/>
        <v>0</v>
      </c>
      <c r="H5" s="142">
        <f t="shared" si="1"/>
        <v>327475.5</v>
      </c>
      <c r="I5" s="142">
        <f t="shared" si="1"/>
        <v>36205.2</v>
      </c>
      <c r="J5" s="142">
        <f t="shared" si="1"/>
        <v>0</v>
      </c>
      <c r="K5" s="142"/>
      <c r="L5" s="143">
        <f>SUM(L6:L11)</f>
        <v>0</v>
      </c>
      <c r="M5" s="278">
        <f>SUM(E5:L5)</f>
        <v>875272.725</v>
      </c>
    </row>
    <row r="6" spans="1:13" ht="12.75">
      <c r="A6" s="110"/>
      <c r="B6" s="119" t="s">
        <v>41</v>
      </c>
      <c r="C6" s="119"/>
      <c r="D6" s="120"/>
      <c r="E6" s="139">
        <f>(11000+7800+4700+1175+2480)*12</f>
        <v>325860</v>
      </c>
      <c r="F6" s="139">
        <f>2000*12</f>
        <v>24000</v>
      </c>
      <c r="G6" s="139"/>
      <c r="H6" s="139">
        <f>(7800+5800+5100)*12</f>
        <v>224400</v>
      </c>
      <c r="I6" s="139"/>
      <c r="J6" s="139"/>
      <c r="K6" s="139"/>
      <c r="L6" s="144"/>
      <c r="M6" s="324">
        <f aca="true" t="shared" si="2" ref="M6:M60">SUM(E6:L6)</f>
        <v>574260</v>
      </c>
    </row>
    <row r="7" spans="1:13" ht="12.75">
      <c r="A7" s="110"/>
      <c r="B7" s="111" t="s">
        <v>591</v>
      </c>
      <c r="C7" s="111"/>
      <c r="D7" s="112"/>
      <c r="E7" s="140">
        <f>(3100)*2+2480</f>
        <v>8680</v>
      </c>
      <c r="F7" s="140"/>
      <c r="G7" s="140"/>
      <c r="H7" s="140">
        <f>(5800-4700)*2</f>
        <v>2200</v>
      </c>
      <c r="I7" s="140">
        <f>(900+1360)*12</f>
        <v>27120</v>
      </c>
      <c r="J7" s="140"/>
      <c r="K7" s="140"/>
      <c r="L7" s="145"/>
      <c r="M7" s="325">
        <f t="shared" si="2"/>
        <v>38000</v>
      </c>
    </row>
    <row r="8" spans="1:13" ht="12.75">
      <c r="A8" s="110"/>
      <c r="B8" s="111" t="s">
        <v>43</v>
      </c>
      <c r="C8" s="111"/>
      <c r="D8" s="112"/>
      <c r="E8" s="140"/>
      <c r="F8" s="140"/>
      <c r="G8" s="140"/>
      <c r="H8" s="140"/>
      <c r="I8" s="140"/>
      <c r="J8" s="140"/>
      <c r="K8" s="140"/>
      <c r="L8" s="145"/>
      <c r="M8" s="325">
        <f t="shared" si="2"/>
        <v>0</v>
      </c>
    </row>
    <row r="9" spans="1:13" ht="12.75" hidden="1">
      <c r="A9" s="110"/>
      <c r="B9" s="114" t="s">
        <v>44</v>
      </c>
      <c r="C9" s="114"/>
      <c r="D9" s="115"/>
      <c r="E9" s="141"/>
      <c r="F9" s="141"/>
      <c r="G9" s="141"/>
      <c r="H9" s="141"/>
      <c r="I9" s="141"/>
      <c r="J9" s="141"/>
      <c r="K9" s="141"/>
      <c r="L9" s="145"/>
      <c r="M9" s="325">
        <f t="shared" si="2"/>
        <v>0</v>
      </c>
    </row>
    <row r="10" spans="1:13" ht="12.75">
      <c r="A10" s="110"/>
      <c r="B10" s="116" t="s">
        <v>45</v>
      </c>
      <c r="C10" s="117"/>
      <c r="D10" s="298"/>
      <c r="E10" s="229">
        <f>(11000+7800+4700+1175)</f>
        <v>24675</v>
      </c>
      <c r="F10" s="140"/>
      <c r="G10" s="140"/>
      <c r="H10" s="140">
        <f>(7800+5800+5100)</f>
        <v>18700</v>
      </c>
      <c r="I10" s="140"/>
      <c r="J10" s="140"/>
      <c r="K10" s="140"/>
      <c r="L10" s="145"/>
      <c r="M10" s="325">
        <f t="shared" si="2"/>
        <v>43375</v>
      </c>
    </row>
    <row r="11" spans="1:13" ht="13.5" thickBot="1">
      <c r="A11" s="110"/>
      <c r="B11" s="136" t="s">
        <v>511</v>
      </c>
      <c r="C11" s="136"/>
      <c r="D11" s="137"/>
      <c r="E11" s="147">
        <f>(E6+E7+E8+E10)*0.335</f>
        <v>120337.02500000001</v>
      </c>
      <c r="F11" s="147">
        <f aca="true" t="shared" si="3" ref="F11:L11">(F6+F7+F8+F10)*0.335</f>
        <v>8040.000000000001</v>
      </c>
      <c r="G11" s="147">
        <f t="shared" si="3"/>
        <v>0</v>
      </c>
      <c r="H11" s="147">
        <f t="shared" si="3"/>
        <v>82175.5</v>
      </c>
      <c r="I11" s="147">
        <f t="shared" si="3"/>
        <v>9085.2</v>
      </c>
      <c r="J11" s="147"/>
      <c r="K11" s="147">
        <f t="shared" si="3"/>
        <v>0</v>
      </c>
      <c r="L11" s="141">
        <f t="shared" si="3"/>
        <v>0</v>
      </c>
      <c r="M11" s="326">
        <f t="shared" si="2"/>
        <v>219637.72500000003</v>
      </c>
    </row>
    <row r="12" spans="1:13" s="129" customFormat="1" ht="13.5" thickBot="1">
      <c r="A12" s="169" t="s">
        <v>535</v>
      </c>
      <c r="B12" s="169"/>
      <c r="C12" s="108"/>
      <c r="D12" s="108"/>
      <c r="E12" s="138">
        <f aca="true" t="shared" si="4" ref="E12:L12">E13+E22+E23+E24+E31+E32+E36+E40+E43+E44+E45+E46</f>
        <v>213400</v>
      </c>
      <c r="F12" s="138">
        <f t="shared" si="4"/>
        <v>21700</v>
      </c>
      <c r="G12" s="138">
        <f t="shared" si="4"/>
        <v>0</v>
      </c>
      <c r="H12" s="138">
        <f t="shared" si="4"/>
        <v>23700</v>
      </c>
      <c r="I12" s="138">
        <f t="shared" si="4"/>
        <v>73100</v>
      </c>
      <c r="J12" s="138">
        <f t="shared" si="4"/>
        <v>0</v>
      </c>
      <c r="K12" s="138">
        <f t="shared" si="4"/>
        <v>0</v>
      </c>
      <c r="L12" s="142">
        <f t="shared" si="4"/>
        <v>0</v>
      </c>
      <c r="M12" s="278">
        <f t="shared" si="2"/>
        <v>331900</v>
      </c>
    </row>
    <row r="13" spans="1:13" ht="12" customHeight="1">
      <c r="A13" s="110"/>
      <c r="B13" s="158" t="s">
        <v>510</v>
      </c>
      <c r="C13" s="289"/>
      <c r="D13" s="290"/>
      <c r="E13" s="163">
        <f>SUM(E14:E21)</f>
        <v>118500</v>
      </c>
      <c r="F13" s="163">
        <f>SUM(F14:F21)</f>
        <v>2700</v>
      </c>
      <c r="G13" s="163">
        <f>SUM(G14:G21)</f>
        <v>0</v>
      </c>
      <c r="H13" s="163">
        <f>SUM(H14:H21)</f>
        <v>7000</v>
      </c>
      <c r="I13" s="163">
        <f>SUM(I14:I21)</f>
        <v>5000</v>
      </c>
      <c r="J13" s="163"/>
      <c r="K13" s="163"/>
      <c r="L13" s="163">
        <f>SUM(L14:L21)</f>
        <v>0</v>
      </c>
      <c r="M13" s="277">
        <f t="shared" si="2"/>
        <v>133200</v>
      </c>
    </row>
    <row r="14" spans="1:13" ht="12" customHeight="1">
      <c r="A14" s="110"/>
      <c r="B14" s="280"/>
      <c r="C14" s="315" t="s">
        <v>500</v>
      </c>
      <c r="D14" s="316"/>
      <c r="E14" s="317">
        <v>20000</v>
      </c>
      <c r="F14" s="139">
        <v>500</v>
      </c>
      <c r="G14" s="139"/>
      <c r="H14" s="121"/>
      <c r="I14" s="121"/>
      <c r="J14" s="121"/>
      <c r="K14" s="121"/>
      <c r="L14" s="275"/>
      <c r="M14" s="325">
        <f t="shared" si="2"/>
        <v>20500</v>
      </c>
    </row>
    <row r="15" spans="1:13" ht="12" customHeight="1">
      <c r="A15" s="110"/>
      <c r="B15" s="280"/>
      <c r="C15" s="315" t="s">
        <v>501</v>
      </c>
      <c r="D15" s="316"/>
      <c r="E15" s="317">
        <v>6000</v>
      </c>
      <c r="F15" s="139">
        <v>1000</v>
      </c>
      <c r="G15" s="139"/>
      <c r="H15" s="139">
        <v>2000</v>
      </c>
      <c r="I15" s="139"/>
      <c r="J15" s="139"/>
      <c r="K15" s="139"/>
      <c r="L15" s="145"/>
      <c r="M15" s="325">
        <f t="shared" si="2"/>
        <v>9000</v>
      </c>
    </row>
    <row r="16" spans="1:13" ht="12" customHeight="1">
      <c r="A16" s="110"/>
      <c r="B16" s="280"/>
      <c r="C16" s="315" t="s">
        <v>502</v>
      </c>
      <c r="D16" s="316"/>
      <c r="E16" s="317">
        <f>30000-5000</f>
        <v>25000</v>
      </c>
      <c r="F16" s="139"/>
      <c r="G16" s="139"/>
      <c r="H16" s="139">
        <v>5000</v>
      </c>
      <c r="I16" s="139"/>
      <c r="J16" s="139"/>
      <c r="K16" s="139"/>
      <c r="L16" s="145"/>
      <c r="M16" s="325">
        <f t="shared" si="2"/>
        <v>30000</v>
      </c>
    </row>
    <row r="17" spans="1:13" ht="12" customHeight="1">
      <c r="A17" s="110"/>
      <c r="B17" s="280"/>
      <c r="C17" s="315" t="s">
        <v>503</v>
      </c>
      <c r="D17" s="316"/>
      <c r="E17" s="317">
        <v>12000</v>
      </c>
      <c r="F17" s="139">
        <v>500</v>
      </c>
      <c r="G17" s="139"/>
      <c r="H17" s="139"/>
      <c r="I17" s="139"/>
      <c r="J17" s="139"/>
      <c r="K17" s="139"/>
      <c r="L17" s="145"/>
      <c r="M17" s="325">
        <f t="shared" si="2"/>
        <v>12500</v>
      </c>
    </row>
    <row r="18" spans="1:13" ht="12" customHeight="1">
      <c r="A18" s="110"/>
      <c r="B18" s="280"/>
      <c r="C18" s="315" t="s">
        <v>504</v>
      </c>
      <c r="D18" s="316"/>
      <c r="E18" s="317">
        <f>25000-5000</f>
        <v>20000</v>
      </c>
      <c r="F18" s="139">
        <v>700</v>
      </c>
      <c r="G18" s="139"/>
      <c r="H18" s="139"/>
      <c r="I18" s="139"/>
      <c r="J18" s="139"/>
      <c r="K18" s="139"/>
      <c r="L18" s="145"/>
      <c r="M18" s="325">
        <f t="shared" si="2"/>
        <v>20700</v>
      </c>
    </row>
    <row r="19" spans="1:13" ht="12" customHeight="1">
      <c r="A19" s="110"/>
      <c r="B19" s="280"/>
      <c r="C19" s="315" t="s">
        <v>757</v>
      </c>
      <c r="D19" s="316"/>
      <c r="E19" s="317">
        <f>20000+3000+7500</f>
        <v>30500</v>
      </c>
      <c r="F19" s="139"/>
      <c r="G19" s="139"/>
      <c r="H19" s="139"/>
      <c r="I19" s="139"/>
      <c r="J19" s="139"/>
      <c r="K19" s="139"/>
      <c r="L19" s="145"/>
      <c r="M19" s="325">
        <f t="shared" si="2"/>
        <v>30500</v>
      </c>
    </row>
    <row r="20" spans="1:13" ht="12" customHeight="1">
      <c r="A20" s="110"/>
      <c r="B20" s="280"/>
      <c r="C20" s="315" t="s">
        <v>506</v>
      </c>
      <c r="D20" s="316"/>
      <c r="E20" s="317">
        <v>5000</v>
      </c>
      <c r="F20" s="139"/>
      <c r="G20" s="139"/>
      <c r="H20" s="139"/>
      <c r="I20" s="139"/>
      <c r="J20" s="139"/>
      <c r="K20" s="139"/>
      <c r="L20" s="145"/>
      <c r="M20" s="325">
        <f t="shared" si="2"/>
        <v>5000</v>
      </c>
    </row>
    <row r="21" spans="1:13" ht="12" customHeight="1">
      <c r="A21" s="110"/>
      <c r="B21" s="280"/>
      <c r="C21" s="315" t="s">
        <v>507</v>
      </c>
      <c r="D21" s="316"/>
      <c r="E21" s="330"/>
      <c r="F21" s="139"/>
      <c r="G21" s="139"/>
      <c r="H21" s="139"/>
      <c r="I21" s="139">
        <v>5000</v>
      </c>
      <c r="J21" s="139"/>
      <c r="K21" s="139"/>
      <c r="L21" s="145"/>
      <c r="M21" s="325">
        <f t="shared" si="2"/>
        <v>5000</v>
      </c>
    </row>
    <row r="22" spans="1:13" s="129" customFormat="1" ht="13.5">
      <c r="A22" s="151"/>
      <c r="B22" s="152" t="s">
        <v>508</v>
      </c>
      <c r="C22" s="331"/>
      <c r="D22" s="292"/>
      <c r="E22" s="170">
        <v>12000</v>
      </c>
      <c r="F22" s="156">
        <v>1000</v>
      </c>
      <c r="G22" s="156"/>
      <c r="H22" s="156">
        <v>2000</v>
      </c>
      <c r="I22" s="156"/>
      <c r="J22" s="156"/>
      <c r="K22" s="156"/>
      <c r="L22" s="157"/>
      <c r="M22" s="274">
        <f t="shared" si="2"/>
        <v>15000</v>
      </c>
    </row>
    <row r="23" spans="1:13" s="129" customFormat="1" ht="13.5">
      <c r="A23" s="151"/>
      <c r="B23" s="152" t="s">
        <v>47</v>
      </c>
      <c r="C23" s="153"/>
      <c r="D23" s="154"/>
      <c r="E23" s="170">
        <v>15000</v>
      </c>
      <c r="F23" s="156">
        <v>4000</v>
      </c>
      <c r="G23" s="156"/>
      <c r="H23" s="156">
        <v>7000</v>
      </c>
      <c r="I23" s="156"/>
      <c r="J23" s="156"/>
      <c r="K23" s="156"/>
      <c r="L23" s="157"/>
      <c r="M23" s="274">
        <f t="shared" si="2"/>
        <v>26000</v>
      </c>
    </row>
    <row r="24" spans="1:13" s="129" customFormat="1" ht="12.75">
      <c r="A24" s="151"/>
      <c r="B24" s="158" t="s">
        <v>48</v>
      </c>
      <c r="C24" s="289"/>
      <c r="D24" s="290"/>
      <c r="E24" s="156">
        <f>SUM(E25:E30)</f>
        <v>36000</v>
      </c>
      <c r="F24" s="156">
        <f>SUM(F25:F30)</f>
        <v>0</v>
      </c>
      <c r="G24" s="156">
        <f>SUM(G25:G30)</f>
        <v>0</v>
      </c>
      <c r="H24" s="156">
        <f>SUM(H25:H30)</f>
        <v>0</v>
      </c>
      <c r="I24" s="156">
        <f>SUM(I25:I30)</f>
        <v>0</v>
      </c>
      <c r="J24" s="156"/>
      <c r="K24" s="156"/>
      <c r="L24" s="156">
        <f>SUM(L25:L30)</f>
        <v>0</v>
      </c>
      <c r="M24" s="274">
        <f t="shared" si="2"/>
        <v>36000</v>
      </c>
    </row>
    <row r="25" spans="1:13" ht="12.75">
      <c r="A25" s="110"/>
      <c r="B25" s="166"/>
      <c r="C25" s="315" t="s">
        <v>509</v>
      </c>
      <c r="D25" s="316"/>
      <c r="E25" s="229">
        <v>27500</v>
      </c>
      <c r="F25" s="140"/>
      <c r="G25" s="140"/>
      <c r="H25" s="140"/>
      <c r="I25" s="140"/>
      <c r="J25" s="140"/>
      <c r="K25" s="140"/>
      <c r="L25" s="145"/>
      <c r="M25" s="325">
        <f t="shared" si="2"/>
        <v>27500</v>
      </c>
    </row>
    <row r="26" spans="1:13" ht="12.75">
      <c r="A26" s="110"/>
      <c r="B26" s="166"/>
      <c r="C26" s="315" t="s">
        <v>515</v>
      </c>
      <c r="D26" s="316"/>
      <c r="E26" s="229">
        <v>1000</v>
      </c>
      <c r="F26" s="140"/>
      <c r="G26" s="140"/>
      <c r="H26" s="140"/>
      <c r="I26" s="140"/>
      <c r="J26" s="140"/>
      <c r="K26" s="140"/>
      <c r="L26" s="145"/>
      <c r="M26" s="325">
        <f t="shared" si="2"/>
        <v>1000</v>
      </c>
    </row>
    <row r="27" spans="1:13" ht="12.75">
      <c r="A27" s="110"/>
      <c r="B27" s="166"/>
      <c r="C27" s="116" t="s">
        <v>516</v>
      </c>
      <c r="D27" s="298"/>
      <c r="E27" s="229">
        <v>500</v>
      </c>
      <c r="F27" s="140"/>
      <c r="G27" s="140"/>
      <c r="H27" s="140"/>
      <c r="I27" s="140"/>
      <c r="J27" s="140"/>
      <c r="K27" s="140"/>
      <c r="L27" s="145"/>
      <c r="M27" s="325">
        <f t="shared" si="2"/>
        <v>500</v>
      </c>
    </row>
    <row r="28" spans="1:13" ht="12.75">
      <c r="A28" s="110"/>
      <c r="B28" s="166"/>
      <c r="C28" s="116" t="s">
        <v>517</v>
      </c>
      <c r="D28" s="298"/>
      <c r="E28" s="229">
        <v>2300</v>
      </c>
      <c r="F28" s="140"/>
      <c r="G28" s="140"/>
      <c r="H28" s="140"/>
      <c r="I28" s="140"/>
      <c r="J28" s="140"/>
      <c r="K28" s="140"/>
      <c r="L28" s="145"/>
      <c r="M28" s="325">
        <f t="shared" si="2"/>
        <v>2300</v>
      </c>
    </row>
    <row r="29" spans="1:13" ht="12.75">
      <c r="A29" s="110"/>
      <c r="B29" s="166"/>
      <c r="C29" s="116" t="s">
        <v>518</v>
      </c>
      <c r="D29" s="298"/>
      <c r="E29" s="229">
        <v>3000</v>
      </c>
      <c r="F29" s="140"/>
      <c r="G29" s="140"/>
      <c r="H29" s="140"/>
      <c r="I29" s="140"/>
      <c r="J29" s="140"/>
      <c r="K29" s="140"/>
      <c r="L29" s="145"/>
      <c r="M29" s="325">
        <f t="shared" si="2"/>
        <v>3000</v>
      </c>
    </row>
    <row r="30" spans="1:13" ht="12.75">
      <c r="A30" s="110"/>
      <c r="B30" s="119"/>
      <c r="C30" s="119" t="s">
        <v>519</v>
      </c>
      <c r="D30" s="120"/>
      <c r="E30" s="140">
        <v>1700</v>
      </c>
      <c r="F30" s="140"/>
      <c r="G30" s="140"/>
      <c r="H30" s="140"/>
      <c r="I30" s="140"/>
      <c r="J30" s="140"/>
      <c r="K30" s="140"/>
      <c r="L30" s="145"/>
      <c r="M30" s="325">
        <f t="shared" si="2"/>
        <v>1700</v>
      </c>
    </row>
    <row r="31" spans="1:13" ht="12.75" hidden="1">
      <c r="A31" s="110"/>
      <c r="B31" s="111" t="s">
        <v>49</v>
      </c>
      <c r="C31" s="111"/>
      <c r="D31" s="112"/>
      <c r="E31" s="140"/>
      <c r="F31" s="140"/>
      <c r="G31" s="140"/>
      <c r="H31" s="140"/>
      <c r="I31" s="140"/>
      <c r="J31" s="140"/>
      <c r="K31" s="140"/>
      <c r="L31" s="145"/>
      <c r="M31" s="325">
        <f t="shared" si="2"/>
        <v>0</v>
      </c>
    </row>
    <row r="32" spans="1:13" s="129" customFormat="1" ht="12.75">
      <c r="A32" s="151"/>
      <c r="B32" s="161" t="s">
        <v>374</v>
      </c>
      <c r="C32" s="161"/>
      <c r="D32" s="162"/>
      <c r="E32" s="156">
        <f aca="true" t="shared" si="5" ref="E32:L32">SUM(E33:E35)</f>
        <v>31900</v>
      </c>
      <c r="F32" s="156">
        <f t="shared" si="5"/>
        <v>14000</v>
      </c>
      <c r="G32" s="156">
        <f t="shared" si="5"/>
        <v>0</v>
      </c>
      <c r="H32" s="156">
        <f t="shared" si="5"/>
        <v>7700</v>
      </c>
      <c r="I32" s="156">
        <f t="shared" si="5"/>
        <v>6000</v>
      </c>
      <c r="J32" s="156">
        <f t="shared" si="5"/>
        <v>0</v>
      </c>
      <c r="K32" s="156">
        <f t="shared" si="5"/>
        <v>0</v>
      </c>
      <c r="L32" s="156">
        <f t="shared" si="5"/>
        <v>0</v>
      </c>
      <c r="M32" s="274">
        <f t="shared" si="2"/>
        <v>59600</v>
      </c>
    </row>
    <row r="33" spans="1:13" ht="12.75" hidden="1">
      <c r="A33" s="110"/>
      <c r="B33" s="111"/>
      <c r="C33" s="111" t="s">
        <v>520</v>
      </c>
      <c r="D33" s="112"/>
      <c r="E33" s="140"/>
      <c r="F33" s="140"/>
      <c r="G33" s="140"/>
      <c r="H33" s="140"/>
      <c r="I33" s="140"/>
      <c r="J33" s="140"/>
      <c r="K33" s="140"/>
      <c r="L33" s="145"/>
      <c r="M33" s="325">
        <f t="shared" si="2"/>
        <v>0</v>
      </c>
    </row>
    <row r="34" spans="1:13" ht="12.75" hidden="1">
      <c r="A34" s="110"/>
      <c r="B34" s="111"/>
      <c r="C34" s="111" t="s">
        <v>521</v>
      </c>
      <c r="D34" s="112"/>
      <c r="E34" s="140"/>
      <c r="F34" s="140"/>
      <c r="G34" s="140"/>
      <c r="H34" s="140"/>
      <c r="I34" s="140"/>
      <c r="J34" s="140"/>
      <c r="K34" s="140"/>
      <c r="L34" s="145"/>
      <c r="M34" s="325">
        <f t="shared" si="2"/>
        <v>0</v>
      </c>
    </row>
    <row r="35" spans="1:13" ht="12.75">
      <c r="A35" s="110"/>
      <c r="B35" s="111"/>
      <c r="C35" s="111" t="s">
        <v>522</v>
      </c>
      <c r="D35" s="112"/>
      <c r="E35" s="140">
        <f>(2000+700+200)*11</f>
        <v>31900</v>
      </c>
      <c r="F35" s="140">
        <f>1000*11+3000</f>
        <v>14000</v>
      </c>
      <c r="G35" s="140"/>
      <c r="H35" s="140">
        <f>700*11</f>
        <v>7700</v>
      </c>
      <c r="I35" s="140">
        <f>500*12</f>
        <v>6000</v>
      </c>
      <c r="J35" s="140"/>
      <c r="K35" s="140"/>
      <c r="L35" s="145"/>
      <c r="M35" s="325">
        <f t="shared" si="2"/>
        <v>59600</v>
      </c>
    </row>
    <row r="36" spans="1:13" s="129" customFormat="1" ht="12.75">
      <c r="A36" s="151"/>
      <c r="B36" s="161" t="s">
        <v>512</v>
      </c>
      <c r="C36" s="161"/>
      <c r="D36" s="162"/>
      <c r="E36" s="156">
        <f>SUM(E37:E39)</f>
        <v>0</v>
      </c>
      <c r="F36" s="156">
        <f aca="true" t="shared" si="6" ref="F36:L36">SUM(F37:F39)</f>
        <v>0</v>
      </c>
      <c r="G36" s="156">
        <f t="shared" si="6"/>
        <v>0</v>
      </c>
      <c r="H36" s="156">
        <f t="shared" si="6"/>
        <v>0</v>
      </c>
      <c r="I36" s="156">
        <f t="shared" si="6"/>
        <v>50100</v>
      </c>
      <c r="J36" s="156">
        <f t="shared" si="6"/>
        <v>0</v>
      </c>
      <c r="K36" s="156">
        <f t="shared" si="6"/>
        <v>0</v>
      </c>
      <c r="L36" s="156">
        <f t="shared" si="6"/>
        <v>0</v>
      </c>
      <c r="M36" s="274">
        <f t="shared" si="2"/>
        <v>50100</v>
      </c>
    </row>
    <row r="37" spans="1:13" ht="12.75">
      <c r="A37" s="110"/>
      <c r="B37" s="111"/>
      <c r="C37" s="114" t="s">
        <v>594</v>
      </c>
      <c r="D37" s="115"/>
      <c r="E37" s="140"/>
      <c r="F37" s="140"/>
      <c r="G37" s="140"/>
      <c r="H37" s="140"/>
      <c r="I37" s="140">
        <v>22240</v>
      </c>
      <c r="J37" s="140"/>
      <c r="K37" s="140"/>
      <c r="L37" s="145"/>
      <c r="M37" s="325">
        <f t="shared" si="2"/>
        <v>22240</v>
      </c>
    </row>
    <row r="38" spans="1:13" ht="12.75">
      <c r="A38" s="110"/>
      <c r="B38" s="116"/>
      <c r="C38" s="116" t="s">
        <v>524</v>
      </c>
      <c r="D38" s="298" t="s">
        <v>655</v>
      </c>
      <c r="E38" s="229"/>
      <c r="F38" s="140"/>
      <c r="G38" s="140"/>
      <c r="H38" s="140"/>
      <c r="I38" s="140">
        <f>920*12</f>
        <v>11040</v>
      </c>
      <c r="J38" s="140"/>
      <c r="K38" s="140"/>
      <c r="L38" s="145"/>
      <c r="M38" s="325">
        <f t="shared" si="2"/>
        <v>11040</v>
      </c>
    </row>
    <row r="39" spans="1:13" ht="12.75">
      <c r="A39" s="110"/>
      <c r="B39" s="116"/>
      <c r="C39" s="116" t="s">
        <v>592</v>
      </c>
      <c r="D39" s="298" t="s">
        <v>758</v>
      </c>
      <c r="E39" s="229"/>
      <c r="F39" s="140"/>
      <c r="G39" s="140"/>
      <c r="H39" s="140"/>
      <c r="I39" s="140">
        <f>500*12+1180*4+6100</f>
        <v>16820</v>
      </c>
      <c r="J39" s="140"/>
      <c r="K39" s="140"/>
      <c r="L39" s="145"/>
      <c r="M39" s="325">
        <f t="shared" si="2"/>
        <v>16820</v>
      </c>
    </row>
    <row r="40" spans="1:13" s="129" customFormat="1" ht="12.75">
      <c r="A40" s="151"/>
      <c r="B40" s="161" t="s">
        <v>605</v>
      </c>
      <c r="C40" s="158"/>
      <c r="D40" s="159"/>
      <c r="E40" s="156">
        <f>SUM(E41:E42)</f>
        <v>0</v>
      </c>
      <c r="F40" s="156">
        <f aca="true" t="shared" si="7" ref="F40:L40">SUM(F41:F42)</f>
        <v>0</v>
      </c>
      <c r="G40" s="156">
        <f t="shared" si="7"/>
        <v>0</v>
      </c>
      <c r="H40" s="156">
        <f t="shared" si="7"/>
        <v>0</v>
      </c>
      <c r="I40" s="156">
        <f t="shared" si="7"/>
        <v>12000</v>
      </c>
      <c r="J40" s="156">
        <f t="shared" si="7"/>
        <v>0</v>
      </c>
      <c r="K40" s="156">
        <f t="shared" si="7"/>
        <v>0</v>
      </c>
      <c r="L40" s="156">
        <f t="shared" si="7"/>
        <v>0</v>
      </c>
      <c r="M40" s="274">
        <f t="shared" si="2"/>
        <v>12000</v>
      </c>
    </row>
    <row r="41" spans="1:13" ht="12.75">
      <c r="A41" s="110"/>
      <c r="B41" s="111"/>
      <c r="C41" s="111" t="s">
        <v>526</v>
      </c>
      <c r="D41" s="112"/>
      <c r="E41" s="140"/>
      <c r="F41" s="140"/>
      <c r="G41" s="140"/>
      <c r="H41" s="140"/>
      <c r="I41" s="140"/>
      <c r="J41" s="140"/>
      <c r="K41" s="140"/>
      <c r="L41" s="145"/>
      <c r="M41" s="325">
        <f t="shared" si="2"/>
        <v>0</v>
      </c>
    </row>
    <row r="42" spans="1:13" ht="13.5" thickBot="1">
      <c r="A42" s="110"/>
      <c r="B42" s="111"/>
      <c r="C42" s="111" t="s">
        <v>527</v>
      </c>
      <c r="D42" s="112"/>
      <c r="E42" s="140">
        <f>20000-20000</f>
        <v>0</v>
      </c>
      <c r="F42" s="140"/>
      <c r="G42" s="140"/>
      <c r="H42" s="140"/>
      <c r="I42" s="140">
        <v>12000</v>
      </c>
      <c r="J42" s="140"/>
      <c r="K42" s="140"/>
      <c r="L42" s="145"/>
      <c r="M42" s="325">
        <f t="shared" si="2"/>
        <v>12000</v>
      </c>
    </row>
    <row r="43" spans="1:13" ht="13.5" hidden="1" thickBot="1">
      <c r="A43" s="110"/>
      <c r="B43" s="111" t="s">
        <v>50</v>
      </c>
      <c r="C43" s="111"/>
      <c r="D43" s="112"/>
      <c r="E43" s="140"/>
      <c r="F43" s="140"/>
      <c r="G43" s="140"/>
      <c r="H43" s="140"/>
      <c r="I43" s="140"/>
      <c r="J43" s="140"/>
      <c r="K43" s="140"/>
      <c r="L43" s="145"/>
      <c r="M43" s="325">
        <f t="shared" si="2"/>
        <v>0</v>
      </c>
    </row>
    <row r="44" spans="1:13" ht="13.5" hidden="1" thickBot="1">
      <c r="A44" s="110"/>
      <c r="B44" s="111" t="s">
        <v>51</v>
      </c>
      <c r="C44" s="111"/>
      <c r="D44" s="112"/>
      <c r="E44" s="140"/>
      <c r="F44" s="140"/>
      <c r="G44" s="140"/>
      <c r="H44" s="140"/>
      <c r="I44" s="140"/>
      <c r="J44" s="140"/>
      <c r="K44" s="140"/>
      <c r="L44" s="145"/>
      <c r="M44" s="325">
        <f t="shared" si="2"/>
        <v>0</v>
      </c>
    </row>
    <row r="45" spans="1:13" ht="13.5" hidden="1" thickBot="1">
      <c r="A45" s="110"/>
      <c r="B45" s="114" t="s">
        <v>52</v>
      </c>
      <c r="C45" s="114"/>
      <c r="D45" s="115"/>
      <c r="E45" s="140"/>
      <c r="F45" s="140"/>
      <c r="G45" s="140"/>
      <c r="H45" s="140"/>
      <c r="I45" s="140"/>
      <c r="J45" s="140"/>
      <c r="K45" s="140"/>
      <c r="L45" s="145"/>
      <c r="M45" s="325">
        <f t="shared" si="2"/>
        <v>0</v>
      </c>
    </row>
    <row r="46" spans="1:13" ht="13.5" hidden="1" thickBot="1">
      <c r="A46" s="110"/>
      <c r="B46" s="116" t="s">
        <v>53</v>
      </c>
      <c r="C46" s="117"/>
      <c r="D46" s="298"/>
      <c r="E46" s="229">
        <f>SUM(E47:E48)</f>
        <v>0</v>
      </c>
      <c r="F46" s="229">
        <f>SUM(F47:F48)</f>
        <v>0</v>
      </c>
      <c r="G46" s="229">
        <f>SUM(G47:G48)</f>
        <v>0</v>
      </c>
      <c r="H46" s="229">
        <f>SUM(H47:H48)</f>
        <v>0</v>
      </c>
      <c r="I46" s="229">
        <f>SUM(I47:I48)</f>
        <v>0</v>
      </c>
      <c r="J46" s="229"/>
      <c r="K46" s="229"/>
      <c r="L46" s="140">
        <f>SUM(L47:L48)</f>
        <v>0</v>
      </c>
      <c r="M46" s="325">
        <f t="shared" si="2"/>
        <v>0</v>
      </c>
    </row>
    <row r="47" spans="1:13" ht="13.5" hidden="1" thickBot="1">
      <c r="A47" s="110"/>
      <c r="B47" s="166"/>
      <c r="C47" s="123" t="s">
        <v>528</v>
      </c>
      <c r="D47" s="167"/>
      <c r="E47" s="229"/>
      <c r="F47" s="140"/>
      <c r="G47" s="140"/>
      <c r="H47" s="140"/>
      <c r="I47" s="140"/>
      <c r="J47" s="140"/>
      <c r="K47" s="140"/>
      <c r="L47" s="145"/>
      <c r="M47" s="325">
        <f t="shared" si="2"/>
        <v>0</v>
      </c>
    </row>
    <row r="48" spans="1:13" ht="13.5" hidden="1" thickBot="1">
      <c r="A48" s="110"/>
      <c r="B48" s="280"/>
      <c r="C48" s="110" t="s">
        <v>529</v>
      </c>
      <c r="D48" s="281"/>
      <c r="E48" s="282"/>
      <c r="F48" s="141"/>
      <c r="G48" s="141"/>
      <c r="H48" s="141"/>
      <c r="I48" s="141"/>
      <c r="J48" s="141"/>
      <c r="K48" s="141"/>
      <c r="L48" s="146"/>
      <c r="M48" s="326">
        <f t="shared" si="2"/>
        <v>0</v>
      </c>
    </row>
    <row r="49" spans="1:13" s="129" customFormat="1" ht="13.5" thickBot="1">
      <c r="A49" s="169" t="s">
        <v>536</v>
      </c>
      <c r="B49" s="108"/>
      <c r="C49" s="108"/>
      <c r="D49" s="108"/>
      <c r="E49" s="138">
        <f>SUM(E50:E54)</f>
        <v>0</v>
      </c>
      <c r="F49" s="138">
        <f aca="true" t="shared" si="8" ref="F49:M49">SUM(F50:F54)</f>
        <v>0</v>
      </c>
      <c r="G49" s="138">
        <f t="shared" si="8"/>
        <v>0</v>
      </c>
      <c r="H49" s="138">
        <f t="shared" si="8"/>
        <v>0</v>
      </c>
      <c r="I49" s="138">
        <f t="shared" si="8"/>
        <v>0</v>
      </c>
      <c r="J49" s="138">
        <f t="shared" si="8"/>
        <v>94000</v>
      </c>
      <c r="K49" s="138">
        <f t="shared" si="8"/>
        <v>0</v>
      </c>
      <c r="L49" s="138">
        <f t="shared" si="8"/>
        <v>0</v>
      </c>
      <c r="M49" s="138">
        <f t="shared" si="8"/>
        <v>94000</v>
      </c>
    </row>
    <row r="50" spans="1:13" ht="12.75">
      <c r="A50" s="119" t="s">
        <v>54</v>
      </c>
      <c r="B50" s="119"/>
      <c r="C50" s="119"/>
      <c r="D50" s="119"/>
      <c r="E50" s="139"/>
      <c r="F50" s="139"/>
      <c r="G50" s="139"/>
      <c r="H50" s="139"/>
      <c r="I50" s="139"/>
      <c r="J50" s="139"/>
      <c r="K50" s="139"/>
      <c r="L50" s="144"/>
      <c r="M50" s="324">
        <f t="shared" si="2"/>
        <v>0</v>
      </c>
    </row>
    <row r="51" spans="1:13" ht="12.75">
      <c r="A51" s="116"/>
      <c r="B51" s="117" t="s">
        <v>55</v>
      </c>
      <c r="C51" s="117"/>
      <c r="D51" s="124"/>
      <c r="E51" s="229"/>
      <c r="F51" s="140"/>
      <c r="G51" s="140"/>
      <c r="H51" s="140"/>
      <c r="I51" s="140"/>
      <c r="J51" s="140"/>
      <c r="K51" s="140"/>
      <c r="L51" s="145"/>
      <c r="M51" s="325">
        <f t="shared" si="2"/>
        <v>0</v>
      </c>
    </row>
    <row r="52" spans="1:13" ht="12.75" hidden="1">
      <c r="A52" s="116"/>
      <c r="B52" s="117" t="s">
        <v>28</v>
      </c>
      <c r="C52" s="117"/>
      <c r="D52" s="124"/>
      <c r="E52" s="229"/>
      <c r="F52" s="140"/>
      <c r="G52" s="140"/>
      <c r="H52" s="140"/>
      <c r="I52" s="149"/>
      <c r="J52" s="149"/>
      <c r="K52" s="149"/>
      <c r="L52" s="145"/>
      <c r="M52" s="325">
        <f t="shared" si="2"/>
        <v>0</v>
      </c>
    </row>
    <row r="53" spans="1:13" ht="12.75">
      <c r="A53" s="119" t="s">
        <v>56</v>
      </c>
      <c r="B53" s="125"/>
      <c r="C53" s="119"/>
      <c r="D53" s="119"/>
      <c r="E53" s="140"/>
      <c r="F53" s="140"/>
      <c r="G53" s="140"/>
      <c r="H53" s="140"/>
      <c r="I53" s="140"/>
      <c r="J53" s="140"/>
      <c r="K53" s="140"/>
      <c r="L53" s="145"/>
      <c r="M53" s="325">
        <f t="shared" si="2"/>
        <v>0</v>
      </c>
    </row>
    <row r="54" spans="1:13" ht="13.5" thickBot="1">
      <c r="A54" s="114" t="s">
        <v>514</v>
      </c>
      <c r="B54" s="253"/>
      <c r="C54" s="114"/>
      <c r="D54" s="114"/>
      <c r="E54" s="141"/>
      <c r="F54" s="141"/>
      <c r="G54" s="141"/>
      <c r="H54" s="141"/>
      <c r="I54" s="141"/>
      <c r="J54" s="141">
        <f>114000-20000</f>
        <v>94000</v>
      </c>
      <c r="K54" s="141"/>
      <c r="L54" s="146"/>
      <c r="M54" s="326">
        <f t="shared" si="2"/>
        <v>94000</v>
      </c>
    </row>
    <row r="55" spans="1:13" ht="13.5" thickBot="1">
      <c r="A55" s="294" t="s">
        <v>530</v>
      </c>
      <c r="B55" s="321"/>
      <c r="C55" s="295"/>
      <c r="D55" s="295"/>
      <c r="E55" s="296"/>
      <c r="F55" s="307"/>
      <c r="G55" s="307"/>
      <c r="H55" s="307"/>
      <c r="I55" s="296"/>
      <c r="J55" s="296"/>
      <c r="K55" s="296"/>
      <c r="L55" s="322"/>
      <c r="M55" s="323">
        <f t="shared" si="2"/>
        <v>0</v>
      </c>
    </row>
    <row r="56" spans="1:13" s="129" customFormat="1" ht="13.5" thickBot="1">
      <c r="A56" s="169" t="s">
        <v>606</v>
      </c>
      <c r="B56" s="109"/>
      <c r="C56" s="108"/>
      <c r="D56" s="108"/>
      <c r="E56" s="138">
        <f>SUM(E57:E58)</f>
        <v>0</v>
      </c>
      <c r="F56" s="138">
        <f aca="true" t="shared" si="9" ref="F56:L56">SUM(F57:F58)</f>
        <v>0</v>
      </c>
      <c r="G56" s="138">
        <f t="shared" si="9"/>
        <v>0</v>
      </c>
      <c r="H56" s="138">
        <f t="shared" si="9"/>
        <v>0</v>
      </c>
      <c r="I56" s="138">
        <f t="shared" si="9"/>
        <v>0</v>
      </c>
      <c r="J56" s="138"/>
      <c r="K56" s="138">
        <f t="shared" si="9"/>
        <v>0</v>
      </c>
      <c r="L56" s="142">
        <f t="shared" si="9"/>
        <v>753895.29</v>
      </c>
      <c r="M56" s="278">
        <f t="shared" si="2"/>
        <v>753895.29</v>
      </c>
    </row>
    <row r="57" spans="1:13" ht="12.75">
      <c r="A57" s="110" t="s">
        <v>532</v>
      </c>
      <c r="B57" s="127"/>
      <c r="C57" s="110"/>
      <c r="D57" s="110"/>
      <c r="E57" s="149"/>
      <c r="F57" s="147"/>
      <c r="G57" s="147"/>
      <c r="H57" s="147"/>
      <c r="I57" s="147"/>
      <c r="J57" s="147"/>
      <c r="K57" s="147"/>
      <c r="L57" s="144">
        <f>972+46110+15000+431.29</f>
        <v>62513.29</v>
      </c>
      <c r="M57" s="324">
        <f t="shared" si="2"/>
        <v>62513.29</v>
      </c>
    </row>
    <row r="58" spans="1:13" ht="13.5" thickBot="1">
      <c r="A58" s="110" t="s">
        <v>533</v>
      </c>
      <c r="B58" s="127"/>
      <c r="C58" s="110"/>
      <c r="D58" s="110"/>
      <c r="E58" s="149"/>
      <c r="F58" s="147"/>
      <c r="G58" s="147"/>
      <c r="H58" s="147"/>
      <c r="I58" s="147"/>
      <c r="J58" s="147"/>
      <c r="K58" s="147"/>
      <c r="L58" s="146">
        <f>660912+30470</f>
        <v>691382</v>
      </c>
      <c r="M58" s="326">
        <f t="shared" si="2"/>
        <v>691382</v>
      </c>
    </row>
    <row r="59" spans="1:13" ht="13.5" thickBot="1">
      <c r="A59" s="294" t="s">
        <v>601</v>
      </c>
      <c r="B59" s="295"/>
      <c r="C59" s="295"/>
      <c r="D59" s="295"/>
      <c r="E59" s="306"/>
      <c r="F59" s="306"/>
      <c r="G59" s="306"/>
      <c r="H59" s="306"/>
      <c r="I59" s="306"/>
      <c r="J59" s="306"/>
      <c r="K59" s="306">
        <f>80000+20000</f>
        <v>100000</v>
      </c>
      <c r="L59" s="327"/>
      <c r="M59" s="328">
        <f t="shared" si="2"/>
        <v>100000</v>
      </c>
    </row>
    <row r="60" spans="1:13" s="128" customFormat="1" ht="13.5" hidden="1" thickBot="1">
      <c r="A60" s="110"/>
      <c r="C60" s="110"/>
      <c r="D60" s="110"/>
      <c r="E60" s="133"/>
      <c r="F60" s="134"/>
      <c r="G60" s="134"/>
      <c r="H60" s="134"/>
      <c r="I60" s="134"/>
      <c r="J60" s="134"/>
      <c r="K60" s="134"/>
      <c r="L60" s="135"/>
      <c r="M60" s="329">
        <f t="shared" si="2"/>
        <v>0</v>
      </c>
    </row>
    <row r="61" spans="2:12" s="128" customFormat="1" ht="12.75">
      <c r="B61" s="110"/>
      <c r="L61" s="150"/>
    </row>
    <row r="62" spans="4:13" ht="12.75">
      <c r="D62" s="93">
        <v>2003</v>
      </c>
      <c r="E62" s="93">
        <v>603</v>
      </c>
      <c r="F62" s="93">
        <v>53</v>
      </c>
      <c r="H62" s="93">
        <v>318</v>
      </c>
      <c r="I62" s="93">
        <v>81.5</v>
      </c>
      <c r="J62" s="93">
        <v>114</v>
      </c>
      <c r="K62" s="93">
        <v>96.3</v>
      </c>
      <c r="L62" s="132">
        <f>129.8+702</f>
        <v>831.8</v>
      </c>
      <c r="M62" s="93">
        <f>SUM(E62:L62)</f>
        <v>2097.6</v>
      </c>
    </row>
    <row r="63" spans="5:9" ht="12.75">
      <c r="E63" s="93">
        <v>429.8</v>
      </c>
      <c r="F63" s="93">
        <v>32</v>
      </c>
      <c r="H63" s="93">
        <v>289.6</v>
      </c>
      <c r="I63" s="93">
        <v>41</v>
      </c>
    </row>
    <row r="65" spans="5:13" ht="12.75">
      <c r="E65" s="238">
        <f aca="true" t="shared" si="10" ref="E65:M65">(E4/1000)/E62</f>
        <v>1.1491741708126038</v>
      </c>
      <c r="F65" s="238">
        <f t="shared" si="10"/>
        <v>1.0139622641509434</v>
      </c>
      <c r="G65" s="238"/>
      <c r="H65" s="238">
        <f t="shared" si="10"/>
        <v>1.1043254716981132</v>
      </c>
      <c r="I65" s="238">
        <f t="shared" si="10"/>
        <v>1.341168098159509</v>
      </c>
      <c r="J65" s="238">
        <f t="shared" si="10"/>
        <v>0.8245614035087719</v>
      </c>
      <c r="K65" s="238">
        <f t="shared" si="10"/>
        <v>1.0384215991692627</v>
      </c>
      <c r="L65" s="238">
        <f t="shared" si="10"/>
        <v>0.9063420173118539</v>
      </c>
      <c r="M65" s="393">
        <f t="shared" si="10"/>
        <v>1.0273970323226544</v>
      </c>
    </row>
  </sheetData>
  <printOptions/>
  <pageMargins left="0.35433070866141736" right="0.15748031496062992" top="0.1968503937007874" bottom="0.1968503937007874" header="0.31496062992125984" footer="0.11811023622047245"/>
  <pageSetup horizontalDpi="300" verticalDpi="300" orientation="portrait" paperSize="9" r:id="rId1"/>
  <headerFooter alignWithMargins="0">
    <oddHeader>&amp;R&amp;D&amp;D &amp;T&amp;T&amp;F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pane xSplit="4" ySplit="3" topLeftCell="E3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:IV16384"/>
    </sheetView>
  </sheetViews>
  <sheetFormatPr defaultColWidth="9.140625" defaultRowHeight="12.75"/>
  <cols>
    <col min="1" max="1" width="1.57421875" style="93" customWidth="1"/>
    <col min="2" max="2" width="4.421875" style="93" customWidth="1"/>
    <col min="3" max="3" width="9.140625" style="93" customWidth="1"/>
    <col min="4" max="4" width="26.8515625" style="93" customWidth="1"/>
    <col min="5" max="5" width="7.00390625" style="93" bestFit="1" customWidth="1"/>
    <col min="6" max="6" width="8.421875" style="93" bestFit="1" customWidth="1"/>
    <col min="7" max="7" width="7.57421875" style="93" bestFit="1" customWidth="1"/>
    <col min="8" max="8" width="7.57421875" style="93" customWidth="1"/>
    <col min="9" max="9" width="7.57421875" style="93" bestFit="1" customWidth="1"/>
    <col min="10" max="10" width="8.00390625" style="132" bestFit="1" customWidth="1"/>
    <col min="11" max="11" width="9.140625" style="93" bestFit="1" customWidth="1"/>
    <col min="12" max="12" width="8.00390625" style="93" bestFit="1" customWidth="1"/>
    <col min="13" max="16384" width="9.140625" style="93" customWidth="1"/>
  </cols>
  <sheetData>
    <row r="1" spans="2:10" s="103" customFormat="1" ht="16.5" thickBot="1">
      <c r="B1" s="103" t="s">
        <v>499</v>
      </c>
      <c r="J1" s="130"/>
    </row>
    <row r="2" spans="1:12" s="129" customFormat="1" ht="79.5" thickBot="1">
      <c r="A2" s="284"/>
      <c r="B2" s="287"/>
      <c r="C2" s="288"/>
      <c r="D2" s="288"/>
      <c r="E2" s="252" t="s">
        <v>543</v>
      </c>
      <c r="F2" s="252" t="s">
        <v>639</v>
      </c>
      <c r="G2" s="252" t="s">
        <v>640</v>
      </c>
      <c r="H2" s="252" t="s">
        <v>641</v>
      </c>
      <c r="I2" s="252" t="s">
        <v>642</v>
      </c>
      <c r="J2" s="260" t="s">
        <v>643</v>
      </c>
      <c r="K2" s="285" t="s">
        <v>496</v>
      </c>
      <c r="L2" s="286" t="s">
        <v>497</v>
      </c>
    </row>
    <row r="3" spans="1:12" ht="13.5" thickBot="1">
      <c r="A3" s="108" t="s">
        <v>40</v>
      </c>
      <c r="B3" s="254"/>
      <c r="C3" s="108"/>
      <c r="D3" s="108"/>
      <c r="E3" s="138">
        <f aca="true" t="shared" si="0" ref="E3:J3">E59+E56+E55+E49+E12+E4</f>
        <v>153472.76</v>
      </c>
      <c r="F3" s="138">
        <f t="shared" si="0"/>
        <v>358203.74</v>
      </c>
      <c r="G3" s="138">
        <f t="shared" si="0"/>
        <v>84460.9</v>
      </c>
      <c r="H3" s="138">
        <f t="shared" si="0"/>
        <v>720856</v>
      </c>
      <c r="I3" s="138">
        <f t="shared" si="0"/>
        <v>36300</v>
      </c>
      <c r="J3" s="138">
        <f t="shared" si="0"/>
        <v>26000</v>
      </c>
      <c r="K3" s="142">
        <f>SUM(E3:I3)</f>
        <v>1353293.4</v>
      </c>
      <c r="L3" s="248">
        <f>SUM(J3+K3)</f>
        <v>1379293.4</v>
      </c>
    </row>
    <row r="4" spans="1:12" s="129" customFormat="1" ht="14.25" thickBot="1">
      <c r="A4" s="169" t="s">
        <v>534</v>
      </c>
      <c r="B4" s="108"/>
      <c r="C4" s="108"/>
      <c r="D4" s="108"/>
      <c r="E4" s="138">
        <f>SUM(E5:E11)</f>
        <v>131972.76</v>
      </c>
      <c r="F4" s="142">
        <f>SUM(F5:F11)</f>
        <v>249703.74000000002</v>
      </c>
      <c r="G4" s="142">
        <f>SUM(G5:G11)</f>
        <v>59460.899999999994</v>
      </c>
      <c r="H4" s="142"/>
      <c r="I4" s="142">
        <f>SUM(I5:I11)</f>
        <v>0</v>
      </c>
      <c r="J4" s="264">
        <f>SUM(J5:J11)</f>
        <v>0</v>
      </c>
      <c r="K4" s="142">
        <f>SUM(E4:I4)</f>
        <v>441137.4</v>
      </c>
      <c r="L4" s="248">
        <f>SUM(J4+K4)</f>
        <v>441137.4</v>
      </c>
    </row>
    <row r="5" spans="1:12" ht="12.75">
      <c r="A5" s="110"/>
      <c r="B5" s="119" t="s">
        <v>41</v>
      </c>
      <c r="C5" s="119"/>
      <c r="D5" s="120"/>
      <c r="E5" s="139">
        <f>6600*12</f>
        <v>79200</v>
      </c>
      <c r="F5" s="139"/>
      <c r="G5" s="139"/>
      <c r="H5" s="139"/>
      <c r="I5" s="139"/>
      <c r="J5" s="265"/>
      <c r="K5" s="139">
        <f aca="true" t="shared" si="1" ref="K5:K60">SUM(E5:I5)</f>
        <v>79200</v>
      </c>
      <c r="L5" s="139">
        <f aca="true" t="shared" si="2" ref="L5:L59">SUM(J5+K5)</f>
        <v>79200</v>
      </c>
    </row>
    <row r="6" spans="1:12" ht="12.75">
      <c r="A6" s="110"/>
      <c r="B6" s="111" t="s">
        <v>42</v>
      </c>
      <c r="C6" s="111"/>
      <c r="D6" s="112"/>
      <c r="E6" s="140">
        <f>12*1088</f>
        <v>13056</v>
      </c>
      <c r="F6" s="140">
        <f>(6600+2220+2480+1900)*12</f>
        <v>158400</v>
      </c>
      <c r="G6" s="140">
        <f>(2780+700)*12</f>
        <v>41760</v>
      </c>
      <c r="H6" s="140"/>
      <c r="I6" s="140"/>
      <c r="J6" s="266"/>
      <c r="K6" s="140">
        <f t="shared" si="1"/>
        <v>213216</v>
      </c>
      <c r="L6" s="140">
        <f t="shared" si="2"/>
        <v>213216</v>
      </c>
    </row>
    <row r="7" spans="1:12" ht="12.75">
      <c r="A7" s="110"/>
      <c r="B7" s="111" t="s">
        <v>43</v>
      </c>
      <c r="C7" s="111"/>
      <c r="D7" s="112"/>
      <c r="E7" s="140"/>
      <c r="F7" s="140">
        <f>19404+9240</f>
        <v>28644</v>
      </c>
      <c r="G7" s="140"/>
      <c r="H7" s="140"/>
      <c r="I7" s="140"/>
      <c r="J7" s="266"/>
      <c r="K7" s="140">
        <f t="shared" si="1"/>
        <v>28644</v>
      </c>
      <c r="L7" s="140">
        <f t="shared" si="2"/>
        <v>28644</v>
      </c>
    </row>
    <row r="8" spans="1:12" ht="12.75" hidden="1">
      <c r="A8" s="110"/>
      <c r="B8" s="114" t="s">
        <v>44</v>
      </c>
      <c r="C8" s="114"/>
      <c r="D8" s="115"/>
      <c r="E8" s="141"/>
      <c r="F8" s="141"/>
      <c r="G8" s="141"/>
      <c r="H8" s="141"/>
      <c r="I8" s="141"/>
      <c r="J8" s="267"/>
      <c r="K8" s="140">
        <f t="shared" si="1"/>
        <v>0</v>
      </c>
      <c r="L8" s="140">
        <f t="shared" si="2"/>
        <v>0</v>
      </c>
    </row>
    <row r="9" spans="1:12" ht="12.75">
      <c r="A9" s="110"/>
      <c r="B9" s="116" t="s">
        <v>45</v>
      </c>
      <c r="C9" s="117"/>
      <c r="D9" s="118"/>
      <c r="E9" s="140">
        <v>6600</v>
      </c>
      <c r="F9" s="140"/>
      <c r="G9" s="140">
        <f>2780</f>
        <v>2780</v>
      </c>
      <c r="H9" s="140"/>
      <c r="I9" s="140"/>
      <c r="J9" s="266"/>
      <c r="K9" s="140">
        <f t="shared" si="1"/>
        <v>9380</v>
      </c>
      <c r="L9" s="140">
        <f t="shared" si="2"/>
        <v>9380</v>
      </c>
    </row>
    <row r="10" spans="1:12" ht="12.75">
      <c r="A10" s="110"/>
      <c r="B10" s="119" t="s">
        <v>511</v>
      </c>
      <c r="C10" s="119"/>
      <c r="D10" s="120"/>
      <c r="E10" s="139">
        <f>0.33*(E5+E6+E7+E8+E9)</f>
        <v>32622.480000000003</v>
      </c>
      <c r="F10" s="139">
        <f>0.33*(F5+F6+F7+F8+F9)</f>
        <v>61724.520000000004</v>
      </c>
      <c r="G10" s="139">
        <f>0.33*(G5+G6+G7+G8+G9)</f>
        <v>14698.2</v>
      </c>
      <c r="H10" s="139"/>
      <c r="I10" s="139">
        <f>0.33*(I5+I6+I7+I8+I9)</f>
        <v>0</v>
      </c>
      <c r="J10" s="265">
        <f>0.33*(J5+J6+J7+J8+J9)</f>
        <v>0</v>
      </c>
      <c r="K10" s="140">
        <f t="shared" si="1"/>
        <v>109045.2</v>
      </c>
      <c r="L10" s="140">
        <f t="shared" si="2"/>
        <v>109045.2</v>
      </c>
    </row>
    <row r="11" spans="1:12" ht="13.5" thickBot="1">
      <c r="A11" s="110"/>
      <c r="B11" s="114" t="s">
        <v>46</v>
      </c>
      <c r="C11" s="114"/>
      <c r="D11" s="115"/>
      <c r="E11" s="141">
        <f>0.005*(E5+E6+E7+E8+E9)</f>
        <v>494.28000000000003</v>
      </c>
      <c r="F11" s="141">
        <f>0.005*(F5+F6+F7+F8+F9)</f>
        <v>935.22</v>
      </c>
      <c r="G11" s="141">
        <f>0.005*(G5+G6+G7+G8+G9)</f>
        <v>222.70000000000002</v>
      </c>
      <c r="H11" s="141"/>
      <c r="I11" s="141">
        <f>0.005*(I5+I6+I7+I8+I9)</f>
        <v>0</v>
      </c>
      <c r="J11" s="267">
        <f>0.005*(J5+J6+J7+J8+J9)</f>
        <v>0</v>
      </c>
      <c r="K11" s="141">
        <f t="shared" si="1"/>
        <v>1652.2</v>
      </c>
      <c r="L11" s="141">
        <f t="shared" si="2"/>
        <v>1652.2</v>
      </c>
    </row>
    <row r="12" spans="1:12" s="129" customFormat="1" ht="13.5" thickBot="1">
      <c r="A12" s="169" t="s">
        <v>535</v>
      </c>
      <c r="B12" s="108"/>
      <c r="C12" s="108"/>
      <c r="D12" s="108"/>
      <c r="E12" s="138">
        <f>E13+E22+E23+E24+E31+E32+E36+E40+E43+E44+E45+E46</f>
        <v>9500</v>
      </c>
      <c r="F12" s="138">
        <f>F13+F22+F23+F24+F31+F32+F36+F40+F43+F44+F45+F46</f>
        <v>83500</v>
      </c>
      <c r="G12" s="138">
        <f>G13+G22+G23+G24+G31+G32+G36+G40+G43+G44+G45+G46</f>
        <v>25000</v>
      </c>
      <c r="H12" s="138"/>
      <c r="I12" s="138">
        <f>I13+I22+I23+I24+I31+I32+I36+I40+I43+I44+I45+I46</f>
        <v>0</v>
      </c>
      <c r="J12" s="138">
        <f>J13+J22+J23+J24+J31+J32+J36+J40+J43+J44+J45+J46</f>
        <v>0</v>
      </c>
      <c r="K12" s="142">
        <f t="shared" si="1"/>
        <v>118000</v>
      </c>
      <c r="L12" s="248">
        <f t="shared" si="2"/>
        <v>118000</v>
      </c>
    </row>
    <row r="13" spans="1:12" s="129" customFormat="1" ht="12" customHeight="1">
      <c r="A13" s="151"/>
      <c r="B13" s="158" t="s">
        <v>510</v>
      </c>
      <c r="C13" s="158"/>
      <c r="D13" s="159"/>
      <c r="E13" s="163">
        <f>SUM(E14:E21)</f>
        <v>0</v>
      </c>
      <c r="F13" s="163">
        <v>20000</v>
      </c>
      <c r="G13" s="163">
        <f>SUM(G14:G21)</f>
        <v>0</v>
      </c>
      <c r="H13" s="163"/>
      <c r="I13" s="163">
        <f>SUM(I14:I21)</f>
        <v>0</v>
      </c>
      <c r="J13" s="268">
        <f>SUM(J14:J21)</f>
        <v>0</v>
      </c>
      <c r="K13" s="163">
        <f t="shared" si="1"/>
        <v>20000</v>
      </c>
      <c r="L13" s="163">
        <f t="shared" si="2"/>
        <v>20000</v>
      </c>
    </row>
    <row r="14" spans="1:12" ht="12" customHeight="1">
      <c r="A14" s="110"/>
      <c r="B14" s="136"/>
      <c r="C14" s="137" t="s">
        <v>500</v>
      </c>
      <c r="E14" s="121"/>
      <c r="F14" s="121"/>
      <c r="G14" s="139"/>
      <c r="H14" s="139"/>
      <c r="I14" s="121"/>
      <c r="J14" s="269"/>
      <c r="K14" s="140">
        <f t="shared" si="1"/>
        <v>0</v>
      </c>
      <c r="L14" s="140">
        <f t="shared" si="2"/>
        <v>0</v>
      </c>
    </row>
    <row r="15" spans="1:12" ht="12" customHeight="1">
      <c r="A15" s="110"/>
      <c r="B15" s="136"/>
      <c r="C15" s="137" t="s">
        <v>501</v>
      </c>
      <c r="E15" s="121"/>
      <c r="F15" s="139"/>
      <c r="G15" s="139"/>
      <c r="H15" s="139"/>
      <c r="I15" s="139"/>
      <c r="J15" s="265"/>
      <c r="K15" s="140">
        <f t="shared" si="1"/>
        <v>0</v>
      </c>
      <c r="L15" s="140">
        <f t="shared" si="2"/>
        <v>0</v>
      </c>
    </row>
    <row r="16" spans="1:12" ht="12" customHeight="1">
      <c r="A16" s="110"/>
      <c r="B16" s="136"/>
      <c r="C16" s="137" t="s">
        <v>502</v>
      </c>
      <c r="E16" s="121"/>
      <c r="F16" s="139"/>
      <c r="G16" s="139"/>
      <c r="H16" s="139"/>
      <c r="I16" s="139"/>
      <c r="J16" s="265"/>
      <c r="K16" s="140">
        <f t="shared" si="1"/>
        <v>0</v>
      </c>
      <c r="L16" s="140">
        <f t="shared" si="2"/>
        <v>0</v>
      </c>
    </row>
    <row r="17" spans="1:12" ht="12" customHeight="1">
      <c r="A17" s="110"/>
      <c r="B17" s="136"/>
      <c r="C17" s="137" t="s">
        <v>503</v>
      </c>
      <c r="E17" s="121"/>
      <c r="F17" s="139"/>
      <c r="G17" s="139"/>
      <c r="H17" s="139"/>
      <c r="I17" s="139"/>
      <c r="J17" s="265"/>
      <c r="K17" s="140">
        <f t="shared" si="1"/>
        <v>0</v>
      </c>
      <c r="L17" s="140">
        <f t="shared" si="2"/>
        <v>0</v>
      </c>
    </row>
    <row r="18" spans="1:12" ht="12" customHeight="1">
      <c r="A18" s="110"/>
      <c r="B18" s="136"/>
      <c r="C18" s="137" t="s">
        <v>504</v>
      </c>
      <c r="E18" s="121"/>
      <c r="F18" s="139"/>
      <c r="G18" s="139"/>
      <c r="H18" s="139"/>
      <c r="I18" s="139"/>
      <c r="J18" s="265"/>
      <c r="K18" s="140">
        <f t="shared" si="1"/>
        <v>0</v>
      </c>
      <c r="L18" s="140">
        <f t="shared" si="2"/>
        <v>0</v>
      </c>
    </row>
    <row r="19" spans="1:12" ht="12" customHeight="1">
      <c r="A19" s="110"/>
      <c r="B19" s="136"/>
      <c r="C19" s="137" t="s">
        <v>505</v>
      </c>
      <c r="E19" s="121"/>
      <c r="F19" s="139"/>
      <c r="G19" s="139"/>
      <c r="H19" s="139"/>
      <c r="I19" s="139"/>
      <c r="J19" s="265"/>
      <c r="K19" s="140">
        <f t="shared" si="1"/>
        <v>0</v>
      </c>
      <c r="L19" s="140">
        <f t="shared" si="2"/>
        <v>0</v>
      </c>
    </row>
    <row r="20" spans="1:12" ht="12" customHeight="1">
      <c r="A20" s="110"/>
      <c r="B20" s="136"/>
      <c r="C20" s="137" t="s">
        <v>506</v>
      </c>
      <c r="E20" s="121"/>
      <c r="F20" s="139"/>
      <c r="G20" s="139"/>
      <c r="H20" s="139"/>
      <c r="I20" s="139"/>
      <c r="J20" s="265"/>
      <c r="K20" s="140">
        <f t="shared" si="1"/>
        <v>0</v>
      </c>
      <c r="L20" s="140">
        <f t="shared" si="2"/>
        <v>0</v>
      </c>
    </row>
    <row r="21" spans="1:12" ht="12" customHeight="1">
      <c r="A21" s="110"/>
      <c r="B21" s="136"/>
      <c r="C21" s="137" t="s">
        <v>590</v>
      </c>
      <c r="E21" s="121"/>
      <c r="F21" s="139">
        <v>10000</v>
      </c>
      <c r="G21" s="139"/>
      <c r="H21" s="139"/>
      <c r="I21" s="139"/>
      <c r="J21" s="265"/>
      <c r="K21" s="140">
        <f t="shared" si="1"/>
        <v>10000</v>
      </c>
      <c r="L21" s="140">
        <f t="shared" si="2"/>
        <v>10000</v>
      </c>
    </row>
    <row r="22" spans="1:12" s="129" customFormat="1" ht="13.5">
      <c r="A22" s="151"/>
      <c r="B22" s="152" t="s">
        <v>508</v>
      </c>
      <c r="C22" s="153"/>
      <c r="D22" s="154"/>
      <c r="E22" s="155"/>
      <c r="F22" s="156">
        <v>2000</v>
      </c>
      <c r="G22" s="156">
        <v>500</v>
      </c>
      <c r="H22" s="156"/>
      <c r="I22" s="156"/>
      <c r="J22" s="270"/>
      <c r="K22" s="156">
        <f t="shared" si="1"/>
        <v>2500</v>
      </c>
      <c r="L22" s="156">
        <f t="shared" si="2"/>
        <v>2500</v>
      </c>
    </row>
    <row r="23" spans="1:12" s="129" customFormat="1" ht="13.5">
      <c r="A23" s="151"/>
      <c r="B23" s="152" t="s">
        <v>47</v>
      </c>
      <c r="C23" s="153"/>
      <c r="D23" s="154"/>
      <c r="E23" s="155"/>
      <c r="F23" s="156">
        <v>1000</v>
      </c>
      <c r="G23" s="156">
        <v>500</v>
      </c>
      <c r="H23" s="156"/>
      <c r="I23" s="156"/>
      <c r="J23" s="270"/>
      <c r="K23" s="156">
        <f t="shared" si="1"/>
        <v>1500</v>
      </c>
      <c r="L23" s="156">
        <f t="shared" si="2"/>
        <v>1500</v>
      </c>
    </row>
    <row r="24" spans="1:12" s="129" customFormat="1" ht="12.75">
      <c r="A24" s="151"/>
      <c r="B24" s="158" t="s">
        <v>48</v>
      </c>
      <c r="C24" s="158"/>
      <c r="D24" s="159"/>
      <c r="E24" s="156">
        <f>SUM(E25:E30)</f>
        <v>9500</v>
      </c>
      <c r="F24" s="156">
        <f>SUM(F25:F30)</f>
        <v>26800</v>
      </c>
      <c r="G24" s="156">
        <f>SUM(G25:G30)</f>
        <v>0</v>
      </c>
      <c r="H24" s="156"/>
      <c r="I24" s="156">
        <f>SUM(I25:I30)</f>
        <v>0</v>
      </c>
      <c r="J24" s="271">
        <f>SUM(J25:J30)</f>
        <v>0</v>
      </c>
      <c r="K24" s="156">
        <f t="shared" si="1"/>
        <v>36300</v>
      </c>
      <c r="L24" s="156">
        <f t="shared" si="2"/>
        <v>36300</v>
      </c>
    </row>
    <row r="25" spans="1:12" ht="12.75">
      <c r="A25" s="110"/>
      <c r="B25" s="119"/>
      <c r="C25" s="120" t="s">
        <v>509</v>
      </c>
      <c r="E25" s="113"/>
      <c r="F25" s="140"/>
      <c r="G25" s="140"/>
      <c r="H25" s="140"/>
      <c r="I25" s="140"/>
      <c r="J25" s="266"/>
      <c r="K25" s="140">
        <f t="shared" si="1"/>
        <v>0</v>
      </c>
      <c r="L25" s="140">
        <f t="shared" si="2"/>
        <v>0</v>
      </c>
    </row>
    <row r="26" spans="1:12" ht="12.75">
      <c r="A26" s="110"/>
      <c r="B26" s="119"/>
      <c r="C26" s="120" t="s">
        <v>515</v>
      </c>
      <c r="E26" s="113"/>
      <c r="F26" s="140"/>
      <c r="G26" s="140"/>
      <c r="H26" s="140"/>
      <c r="I26" s="140"/>
      <c r="J26" s="266"/>
      <c r="K26" s="140">
        <f t="shared" si="1"/>
        <v>0</v>
      </c>
      <c r="L26" s="140">
        <f t="shared" si="2"/>
        <v>0</v>
      </c>
    </row>
    <row r="27" spans="1:12" ht="12.75">
      <c r="A27" s="110"/>
      <c r="B27" s="119"/>
      <c r="C27" s="119" t="s">
        <v>516</v>
      </c>
      <c r="D27" s="120"/>
      <c r="E27" s="113"/>
      <c r="F27" s="140"/>
      <c r="G27" s="140"/>
      <c r="H27" s="140"/>
      <c r="I27" s="140"/>
      <c r="J27" s="266"/>
      <c r="K27" s="140">
        <f t="shared" si="1"/>
        <v>0</v>
      </c>
      <c r="L27" s="140">
        <f t="shared" si="2"/>
        <v>0</v>
      </c>
    </row>
    <row r="28" spans="1:12" ht="12.75">
      <c r="A28" s="110"/>
      <c r="B28" s="119"/>
      <c r="C28" s="119" t="s">
        <v>517</v>
      </c>
      <c r="D28" s="120"/>
      <c r="E28" s="113"/>
      <c r="F28" s="140"/>
      <c r="G28" s="140"/>
      <c r="H28" s="140"/>
      <c r="I28" s="140"/>
      <c r="J28" s="266"/>
      <c r="K28" s="140">
        <f t="shared" si="1"/>
        <v>0</v>
      </c>
      <c r="L28" s="140">
        <f t="shared" si="2"/>
        <v>0</v>
      </c>
    </row>
    <row r="29" spans="1:12" ht="12.75">
      <c r="A29" s="110"/>
      <c r="B29" s="119"/>
      <c r="C29" s="119" t="s">
        <v>518</v>
      </c>
      <c r="D29" s="120"/>
      <c r="E29" s="113"/>
      <c r="F29" s="140"/>
      <c r="G29" s="140"/>
      <c r="H29" s="140"/>
      <c r="I29" s="140"/>
      <c r="J29" s="266"/>
      <c r="K29" s="140">
        <f t="shared" si="1"/>
        <v>0</v>
      </c>
      <c r="L29" s="140">
        <f t="shared" si="2"/>
        <v>0</v>
      </c>
    </row>
    <row r="30" spans="1:12" ht="12.75">
      <c r="A30" s="110"/>
      <c r="B30" s="119"/>
      <c r="C30" s="119" t="s">
        <v>519</v>
      </c>
      <c r="D30" s="120"/>
      <c r="E30" s="140">
        <v>9500</v>
      </c>
      <c r="F30" s="140">
        <v>26800</v>
      </c>
      <c r="G30" s="140"/>
      <c r="H30" s="140"/>
      <c r="I30" s="140"/>
      <c r="J30" s="266"/>
      <c r="K30" s="140">
        <f t="shared" si="1"/>
        <v>36300</v>
      </c>
      <c r="L30" s="140">
        <f t="shared" si="2"/>
        <v>36300</v>
      </c>
    </row>
    <row r="31" spans="1:12" s="129" customFormat="1" ht="13.5">
      <c r="A31" s="151"/>
      <c r="B31" s="161" t="s">
        <v>49</v>
      </c>
      <c r="C31" s="161"/>
      <c r="D31" s="162"/>
      <c r="E31" s="160"/>
      <c r="F31" s="156"/>
      <c r="G31" s="156"/>
      <c r="H31" s="156"/>
      <c r="I31" s="156"/>
      <c r="J31" s="270"/>
      <c r="K31" s="156">
        <f t="shared" si="1"/>
        <v>0</v>
      </c>
      <c r="L31" s="156">
        <f t="shared" si="2"/>
        <v>0</v>
      </c>
    </row>
    <row r="32" spans="1:12" s="129" customFormat="1" ht="12.75">
      <c r="A32" s="151"/>
      <c r="B32" s="161" t="s">
        <v>374</v>
      </c>
      <c r="C32" s="161"/>
      <c r="D32" s="162"/>
      <c r="E32" s="156">
        <f>SUM(E33:E35)</f>
        <v>0</v>
      </c>
      <c r="F32" s="156">
        <f>SUM(F33:F35)</f>
        <v>30200</v>
      </c>
      <c r="G32" s="156">
        <f>SUM(G33:G35)</f>
        <v>24000</v>
      </c>
      <c r="H32" s="156"/>
      <c r="I32" s="156">
        <f>SUM(I33:I35)</f>
        <v>0</v>
      </c>
      <c r="J32" s="271">
        <f>SUM(J33:J35)</f>
        <v>0</v>
      </c>
      <c r="K32" s="156">
        <f t="shared" si="1"/>
        <v>54200</v>
      </c>
      <c r="L32" s="156">
        <f t="shared" si="2"/>
        <v>54200</v>
      </c>
    </row>
    <row r="33" spans="1:12" ht="12.75">
      <c r="A33" s="110"/>
      <c r="B33" s="111"/>
      <c r="C33" s="111" t="s">
        <v>520</v>
      </c>
      <c r="D33" s="112"/>
      <c r="E33" s="113"/>
      <c r="F33" s="140"/>
      <c r="G33" s="140"/>
      <c r="H33" s="140"/>
      <c r="I33" s="140"/>
      <c r="J33" s="266"/>
      <c r="K33" s="140">
        <f t="shared" si="1"/>
        <v>0</v>
      </c>
      <c r="L33" s="140">
        <f t="shared" si="2"/>
        <v>0</v>
      </c>
    </row>
    <row r="34" spans="1:12" ht="12.75">
      <c r="A34" s="110"/>
      <c r="B34" s="111"/>
      <c r="C34" s="111" t="s">
        <v>521</v>
      </c>
      <c r="D34" s="112"/>
      <c r="E34" s="113"/>
      <c r="F34" s="140"/>
      <c r="G34" s="140"/>
      <c r="H34" s="140"/>
      <c r="I34" s="140"/>
      <c r="J34" s="266"/>
      <c r="K34" s="140">
        <f t="shared" si="1"/>
        <v>0</v>
      </c>
      <c r="L34" s="140">
        <f t="shared" si="2"/>
        <v>0</v>
      </c>
    </row>
    <row r="35" spans="1:12" ht="12.75">
      <c r="A35" s="110"/>
      <c r="B35" s="111"/>
      <c r="C35" s="111" t="s">
        <v>522</v>
      </c>
      <c r="D35" s="112"/>
      <c r="E35" s="113"/>
      <c r="F35" s="140">
        <v>30200</v>
      </c>
      <c r="G35" s="140">
        <v>24000</v>
      </c>
      <c r="H35" s="140"/>
      <c r="I35" s="140"/>
      <c r="J35" s="266"/>
      <c r="K35" s="140">
        <f t="shared" si="1"/>
        <v>54200</v>
      </c>
      <c r="L35" s="140">
        <f t="shared" si="2"/>
        <v>54200</v>
      </c>
    </row>
    <row r="36" spans="1:12" s="129" customFormat="1" ht="13.5">
      <c r="A36" s="151"/>
      <c r="B36" s="161" t="s">
        <v>512</v>
      </c>
      <c r="C36" s="161"/>
      <c r="D36" s="162"/>
      <c r="E36" s="160"/>
      <c r="F36" s="156"/>
      <c r="G36" s="156"/>
      <c r="H36" s="156"/>
      <c r="I36" s="156"/>
      <c r="J36" s="270"/>
      <c r="K36" s="156">
        <f t="shared" si="1"/>
        <v>0</v>
      </c>
      <c r="L36" s="156">
        <f t="shared" si="2"/>
        <v>0</v>
      </c>
    </row>
    <row r="37" spans="1:12" ht="12.75">
      <c r="A37" s="110"/>
      <c r="B37" s="111"/>
      <c r="C37" s="111" t="s">
        <v>523</v>
      </c>
      <c r="D37" s="112"/>
      <c r="E37" s="113"/>
      <c r="F37" s="140"/>
      <c r="G37" s="140"/>
      <c r="H37" s="140"/>
      <c r="I37" s="140"/>
      <c r="J37" s="266"/>
      <c r="K37" s="140">
        <f t="shared" si="1"/>
        <v>0</v>
      </c>
      <c r="L37" s="140">
        <f t="shared" si="2"/>
        <v>0</v>
      </c>
    </row>
    <row r="38" spans="1:12" ht="12.75">
      <c r="A38" s="110"/>
      <c r="B38" s="111"/>
      <c r="C38" s="111" t="s">
        <v>524</v>
      </c>
      <c r="D38" s="112"/>
      <c r="E38" s="113"/>
      <c r="F38" s="140"/>
      <c r="G38" s="140"/>
      <c r="H38" s="140"/>
      <c r="I38" s="140"/>
      <c r="J38" s="266"/>
      <c r="K38" s="140">
        <f t="shared" si="1"/>
        <v>0</v>
      </c>
      <c r="L38" s="140">
        <f t="shared" si="2"/>
        <v>0</v>
      </c>
    </row>
    <row r="39" spans="1:12" ht="12.75">
      <c r="A39" s="110"/>
      <c r="B39" s="111"/>
      <c r="C39" s="111" t="s">
        <v>525</v>
      </c>
      <c r="D39" s="112"/>
      <c r="E39" s="113"/>
      <c r="F39" s="140"/>
      <c r="G39" s="140"/>
      <c r="H39" s="140"/>
      <c r="I39" s="140"/>
      <c r="J39" s="266"/>
      <c r="K39" s="140">
        <f t="shared" si="1"/>
        <v>0</v>
      </c>
      <c r="L39" s="140">
        <f t="shared" si="2"/>
        <v>0</v>
      </c>
    </row>
    <row r="40" spans="1:12" s="129" customFormat="1" ht="13.5">
      <c r="A40" s="151"/>
      <c r="B40" s="161" t="s">
        <v>513</v>
      </c>
      <c r="C40" s="161"/>
      <c r="D40" s="162"/>
      <c r="E40" s="156">
        <f>SUM(E41:E42)</f>
        <v>0</v>
      </c>
      <c r="F40" s="156">
        <f>SUM(F41:F42)</f>
        <v>3000</v>
      </c>
      <c r="G40" s="156">
        <f>SUM(G41:G42)</f>
        <v>0</v>
      </c>
      <c r="H40" s="160"/>
      <c r="I40" s="160">
        <f>SUM(I41:I42)</f>
        <v>0</v>
      </c>
      <c r="J40" s="270"/>
      <c r="K40" s="156">
        <f t="shared" si="1"/>
        <v>3000</v>
      </c>
      <c r="L40" s="156">
        <f t="shared" si="2"/>
        <v>3000</v>
      </c>
    </row>
    <row r="41" spans="1:12" ht="12.75">
      <c r="A41" s="110"/>
      <c r="B41" s="111"/>
      <c r="C41" s="111" t="s">
        <v>526</v>
      </c>
      <c r="D41" s="112"/>
      <c r="E41" s="113"/>
      <c r="F41" s="140"/>
      <c r="G41" s="140"/>
      <c r="H41" s="140"/>
      <c r="I41" s="140"/>
      <c r="J41" s="266"/>
      <c r="K41" s="140">
        <f t="shared" si="1"/>
        <v>0</v>
      </c>
      <c r="L41" s="140">
        <f t="shared" si="2"/>
        <v>0</v>
      </c>
    </row>
    <row r="42" spans="1:12" ht="12.75">
      <c r="A42" s="110"/>
      <c r="B42" s="111"/>
      <c r="C42" s="111" t="s">
        <v>527</v>
      </c>
      <c r="D42" s="112"/>
      <c r="E42" s="113"/>
      <c r="F42" s="140">
        <v>3000</v>
      </c>
      <c r="G42" s="140"/>
      <c r="H42" s="140"/>
      <c r="I42" s="140"/>
      <c r="J42" s="266"/>
      <c r="K42" s="140">
        <f t="shared" si="1"/>
        <v>3000</v>
      </c>
      <c r="L42" s="140">
        <f t="shared" si="2"/>
        <v>3000</v>
      </c>
    </row>
    <row r="43" spans="1:12" s="129" customFormat="1" ht="13.5">
      <c r="A43" s="151"/>
      <c r="B43" s="161" t="s">
        <v>50</v>
      </c>
      <c r="C43" s="161"/>
      <c r="D43" s="162"/>
      <c r="E43" s="160"/>
      <c r="F43" s="156"/>
      <c r="G43" s="156"/>
      <c r="H43" s="156"/>
      <c r="I43" s="156"/>
      <c r="J43" s="270"/>
      <c r="K43" s="156">
        <f t="shared" si="1"/>
        <v>0</v>
      </c>
      <c r="L43" s="156">
        <f t="shared" si="2"/>
        <v>0</v>
      </c>
    </row>
    <row r="44" spans="1:12" s="129" customFormat="1" ht="13.5">
      <c r="A44" s="151"/>
      <c r="B44" s="161" t="s">
        <v>51</v>
      </c>
      <c r="C44" s="161"/>
      <c r="D44" s="162"/>
      <c r="E44" s="160"/>
      <c r="F44" s="156">
        <v>500</v>
      </c>
      <c r="G44" s="156"/>
      <c r="H44" s="156"/>
      <c r="I44" s="156"/>
      <c r="J44" s="270"/>
      <c r="K44" s="156">
        <f t="shared" si="1"/>
        <v>500</v>
      </c>
      <c r="L44" s="156">
        <f t="shared" si="2"/>
        <v>500</v>
      </c>
    </row>
    <row r="45" spans="1:12" s="129" customFormat="1" ht="13.5">
      <c r="A45" s="151"/>
      <c r="B45" s="164" t="s">
        <v>52</v>
      </c>
      <c r="C45" s="164"/>
      <c r="D45" s="165"/>
      <c r="E45" s="160"/>
      <c r="F45" s="156"/>
      <c r="G45" s="156"/>
      <c r="H45" s="156"/>
      <c r="I45" s="156"/>
      <c r="J45" s="270"/>
      <c r="K45" s="156">
        <f t="shared" si="1"/>
        <v>0</v>
      </c>
      <c r="L45" s="156">
        <f t="shared" si="2"/>
        <v>0</v>
      </c>
    </row>
    <row r="46" spans="1:12" s="129" customFormat="1" ht="12.75">
      <c r="A46" s="151"/>
      <c r="B46" s="152" t="s">
        <v>53</v>
      </c>
      <c r="C46" s="153"/>
      <c r="D46" s="154"/>
      <c r="E46" s="170">
        <f>SUM(E47:E48)</f>
        <v>0</v>
      </c>
      <c r="F46" s="170">
        <f>SUM(F47:F48)</f>
        <v>0</v>
      </c>
      <c r="G46" s="170">
        <f>SUM(G47:G48)</f>
        <v>0</v>
      </c>
      <c r="H46" s="170"/>
      <c r="I46" s="170">
        <f>SUM(I47:I48)</f>
        <v>0</v>
      </c>
      <c r="J46" s="272">
        <f>SUM(J47:J48)</f>
        <v>0</v>
      </c>
      <c r="K46" s="156">
        <f t="shared" si="1"/>
        <v>0</v>
      </c>
      <c r="L46" s="156">
        <f t="shared" si="2"/>
        <v>0</v>
      </c>
    </row>
    <row r="47" spans="1:12" ht="12.75">
      <c r="A47" s="110"/>
      <c r="B47" s="166"/>
      <c r="C47" s="123" t="s">
        <v>528</v>
      </c>
      <c r="D47" s="167"/>
      <c r="E47" s="122"/>
      <c r="F47" s="140"/>
      <c r="G47" s="140"/>
      <c r="H47" s="140"/>
      <c r="I47" s="140"/>
      <c r="J47" s="266"/>
      <c r="K47" s="140">
        <f t="shared" si="1"/>
        <v>0</v>
      </c>
      <c r="L47" s="140">
        <f t="shared" si="2"/>
        <v>0</v>
      </c>
    </row>
    <row r="48" spans="1:12" ht="13.5" thickBot="1">
      <c r="A48" s="110"/>
      <c r="B48" s="280"/>
      <c r="C48" s="110" t="s">
        <v>529</v>
      </c>
      <c r="D48" s="281"/>
      <c r="E48" s="293"/>
      <c r="F48" s="141"/>
      <c r="G48" s="141"/>
      <c r="H48" s="141"/>
      <c r="I48" s="141"/>
      <c r="J48" s="267"/>
      <c r="K48" s="141">
        <f t="shared" si="1"/>
        <v>0</v>
      </c>
      <c r="L48" s="141">
        <f t="shared" si="2"/>
        <v>0</v>
      </c>
    </row>
    <row r="49" spans="1:12" s="129" customFormat="1" ht="13.5" thickBot="1">
      <c r="A49" s="169" t="s">
        <v>536</v>
      </c>
      <c r="B49" s="108"/>
      <c r="C49" s="108"/>
      <c r="D49" s="108"/>
      <c r="E49" s="138">
        <f>SUM(E50:E54)</f>
        <v>12000</v>
      </c>
      <c r="F49" s="138">
        <f aca="true" t="shared" si="3" ref="F49:L49">SUM(F50:F54)</f>
        <v>25000</v>
      </c>
      <c r="G49" s="138">
        <f t="shared" si="3"/>
        <v>0</v>
      </c>
      <c r="H49" s="138">
        <f>SUM(H50:H54)</f>
        <v>720856</v>
      </c>
      <c r="I49" s="138">
        <f t="shared" si="3"/>
        <v>36300</v>
      </c>
      <c r="J49" s="138">
        <f t="shared" si="3"/>
        <v>26000</v>
      </c>
      <c r="K49" s="142">
        <f t="shared" si="3"/>
        <v>794156</v>
      </c>
      <c r="L49" s="248">
        <f t="shared" si="3"/>
        <v>820156</v>
      </c>
    </row>
    <row r="50" spans="1:12" ht="12.75">
      <c r="A50" s="119" t="s">
        <v>54</v>
      </c>
      <c r="B50" s="119"/>
      <c r="C50" s="119"/>
      <c r="D50" s="119"/>
      <c r="E50" s="121"/>
      <c r="F50" s="139">
        <v>25000</v>
      </c>
      <c r="G50" s="139"/>
      <c r="H50" s="139"/>
      <c r="I50" s="139"/>
      <c r="J50" s="265">
        <v>26000</v>
      </c>
      <c r="K50" s="139">
        <f t="shared" si="1"/>
        <v>25000</v>
      </c>
      <c r="L50" s="139">
        <f t="shared" si="2"/>
        <v>51000</v>
      </c>
    </row>
    <row r="51" spans="1:12" ht="12.75">
      <c r="A51" s="116"/>
      <c r="B51" s="117" t="s">
        <v>55</v>
      </c>
      <c r="C51" s="117"/>
      <c r="D51" s="124" t="s">
        <v>610</v>
      </c>
      <c r="E51" s="122"/>
      <c r="F51" s="140"/>
      <c r="G51" s="140"/>
      <c r="H51" s="140">
        <v>40000</v>
      </c>
      <c r="I51" s="140"/>
      <c r="J51" s="145"/>
      <c r="K51" s="140">
        <f t="shared" si="1"/>
        <v>40000</v>
      </c>
      <c r="L51" s="140">
        <f t="shared" si="2"/>
        <v>40000</v>
      </c>
    </row>
    <row r="52" spans="1:12" ht="12.75">
      <c r="A52" s="116"/>
      <c r="B52" s="117" t="s">
        <v>28</v>
      </c>
      <c r="C52" s="117"/>
      <c r="D52" s="124"/>
      <c r="E52" s="122"/>
      <c r="F52" s="140"/>
      <c r="G52" s="140"/>
      <c r="H52" s="140">
        <v>639000</v>
      </c>
      <c r="I52" s="140"/>
      <c r="J52" s="145"/>
      <c r="K52" s="140">
        <f t="shared" si="1"/>
        <v>639000</v>
      </c>
      <c r="L52" s="140">
        <f t="shared" si="2"/>
        <v>639000</v>
      </c>
    </row>
    <row r="53" spans="1:12" ht="12.75">
      <c r="A53" s="119" t="s">
        <v>56</v>
      </c>
      <c r="B53" s="125"/>
      <c r="C53" s="119"/>
      <c r="D53" s="119"/>
      <c r="E53" s="140">
        <v>12000</v>
      </c>
      <c r="F53" s="140"/>
      <c r="G53" s="140"/>
      <c r="H53" s="140"/>
      <c r="I53" s="140">
        <f>87000-87000+3025*12</f>
        <v>36300</v>
      </c>
      <c r="J53" s="145"/>
      <c r="K53" s="140">
        <f t="shared" si="1"/>
        <v>48300</v>
      </c>
      <c r="L53" s="140">
        <f t="shared" si="2"/>
        <v>48300</v>
      </c>
    </row>
    <row r="54" spans="1:12" ht="13.5" thickBot="1">
      <c r="A54" s="114" t="s">
        <v>609</v>
      </c>
      <c r="B54" s="253"/>
      <c r="C54" s="114"/>
      <c r="D54" s="114"/>
      <c r="E54" s="141"/>
      <c r="F54" s="141"/>
      <c r="G54" s="141"/>
      <c r="H54" s="141">
        <v>41856</v>
      </c>
      <c r="I54" s="141"/>
      <c r="J54" s="267"/>
      <c r="K54" s="141">
        <f t="shared" si="1"/>
        <v>41856</v>
      </c>
      <c r="L54" s="141">
        <f t="shared" si="2"/>
        <v>41856</v>
      </c>
    </row>
    <row r="55" spans="1:12" s="129" customFormat="1" ht="14.25" thickBot="1">
      <c r="A55" s="169" t="s">
        <v>530</v>
      </c>
      <c r="B55" s="109"/>
      <c r="C55" s="108"/>
      <c r="D55" s="108"/>
      <c r="E55" s="138"/>
      <c r="F55" s="142">
        <f>150000-80000-30000-40000</f>
        <v>0</v>
      </c>
      <c r="G55" s="142"/>
      <c r="H55" s="142"/>
      <c r="I55" s="142"/>
      <c r="J55" s="264"/>
      <c r="K55" s="142">
        <f t="shared" si="1"/>
        <v>0</v>
      </c>
      <c r="L55" s="248">
        <f t="shared" si="2"/>
        <v>0</v>
      </c>
    </row>
    <row r="56" spans="1:12" s="129" customFormat="1" ht="14.25" thickBot="1">
      <c r="A56" s="169" t="s">
        <v>531</v>
      </c>
      <c r="B56" s="109"/>
      <c r="C56" s="108"/>
      <c r="D56" s="108"/>
      <c r="E56" s="138"/>
      <c r="F56" s="142"/>
      <c r="G56" s="142"/>
      <c r="H56" s="142"/>
      <c r="I56" s="142"/>
      <c r="J56" s="264"/>
      <c r="K56" s="142">
        <f t="shared" si="1"/>
        <v>0</v>
      </c>
      <c r="L56" s="248">
        <f t="shared" si="2"/>
        <v>0</v>
      </c>
    </row>
    <row r="57" spans="1:12" ht="12.75">
      <c r="A57" s="110" t="s">
        <v>532</v>
      </c>
      <c r="B57" s="127"/>
      <c r="C57" s="110"/>
      <c r="D57" s="110"/>
      <c r="E57" s="149"/>
      <c r="F57" s="147"/>
      <c r="G57" s="147"/>
      <c r="H57" s="147"/>
      <c r="I57" s="147"/>
      <c r="J57" s="273"/>
      <c r="K57" s="139">
        <f t="shared" si="1"/>
        <v>0</v>
      </c>
      <c r="L57" s="139">
        <f t="shared" si="2"/>
        <v>0</v>
      </c>
    </row>
    <row r="58" spans="1:12" ht="13.5" thickBot="1">
      <c r="A58" s="110" t="s">
        <v>533</v>
      </c>
      <c r="B58" s="127"/>
      <c r="C58" s="110"/>
      <c r="D58" s="110"/>
      <c r="E58" s="149"/>
      <c r="F58" s="147"/>
      <c r="G58" s="147"/>
      <c r="H58" s="147"/>
      <c r="I58" s="147"/>
      <c r="J58" s="273"/>
      <c r="K58" s="141">
        <f t="shared" si="1"/>
        <v>0</v>
      </c>
      <c r="L58" s="141">
        <f t="shared" si="2"/>
        <v>0</v>
      </c>
    </row>
    <row r="59" spans="1:12" ht="14.25" thickBot="1">
      <c r="A59" s="169" t="s">
        <v>498</v>
      </c>
      <c r="B59" s="108"/>
      <c r="C59" s="108"/>
      <c r="D59" s="108"/>
      <c r="E59" s="138"/>
      <c r="F59" s="142">
        <f>120000-120000</f>
        <v>0</v>
      </c>
      <c r="G59" s="142"/>
      <c r="H59" s="142"/>
      <c r="I59" s="142"/>
      <c r="J59" s="168"/>
      <c r="K59" s="138">
        <f t="shared" si="1"/>
        <v>0</v>
      </c>
      <c r="L59" s="248">
        <f t="shared" si="2"/>
        <v>0</v>
      </c>
    </row>
    <row r="60" spans="1:11" s="128" customFormat="1" ht="13.5" hidden="1" thickBot="1">
      <c r="A60" s="110"/>
      <c r="C60" s="110"/>
      <c r="D60" s="110"/>
      <c r="E60" s="133"/>
      <c r="F60" s="134"/>
      <c r="G60" s="134"/>
      <c r="H60" s="134"/>
      <c r="I60" s="134"/>
      <c r="J60" s="135"/>
      <c r="K60" s="138">
        <f t="shared" si="1"/>
        <v>0</v>
      </c>
    </row>
    <row r="61" spans="2:10" s="128" customFormat="1" ht="12.75">
      <c r="B61" s="110"/>
      <c r="J61" s="150"/>
    </row>
    <row r="62" spans="4:12" ht="12.75">
      <c r="D62" s="93">
        <v>2003</v>
      </c>
      <c r="E62" s="93">
        <f>115+17.4</f>
        <v>132.4</v>
      </c>
      <c r="F62" s="93">
        <f>232+151-126</f>
        <v>257</v>
      </c>
      <c r="G62" s="93">
        <v>99</v>
      </c>
      <c r="H62" s="93">
        <v>40</v>
      </c>
      <c r="I62" s="93">
        <v>81</v>
      </c>
      <c r="K62" s="93">
        <f>SUM(E62:I62)</f>
        <v>609.4</v>
      </c>
      <c r="L62" s="238">
        <f>(K3/1000)/K62</f>
        <v>2.220698063669183</v>
      </c>
    </row>
    <row r="63" spans="4:11" ht="12.75">
      <c r="D63" s="244" t="s">
        <v>608</v>
      </c>
      <c r="E63" s="93">
        <v>115</v>
      </c>
      <c r="F63" s="93">
        <f>93.4+79.4</f>
        <v>172.8</v>
      </c>
      <c r="G63" s="93">
        <v>96.1</v>
      </c>
      <c r="K63" s="93">
        <f>SUM(E63:I63)</f>
        <v>383.9</v>
      </c>
    </row>
  </sheetData>
  <printOptions/>
  <pageMargins left="0.15748031496062992" right="0.15748031496062992" top="0.3937007874015748" bottom="0.1968503937007874" header="0.31496062992125984" footer="0.11811023622047245"/>
  <pageSetup horizontalDpi="300" verticalDpi="300" orientation="portrait" paperSize="9" scale="90" r:id="rId1"/>
  <headerFooter alignWithMargins="0">
    <oddHeader>&amp;R&amp;D&amp;D&amp;T&amp;T&amp;F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21">
      <selection activeCell="A21" sqref="A1:IV16384"/>
    </sheetView>
  </sheetViews>
  <sheetFormatPr defaultColWidth="9.140625" defaultRowHeight="12.75"/>
  <cols>
    <col min="1" max="1" width="18.140625" style="44" customWidth="1"/>
    <col min="2" max="2" width="9.140625" style="44" customWidth="1"/>
    <col min="3" max="3" width="10.8515625" style="44" customWidth="1"/>
    <col min="4" max="4" width="9.140625" style="44" customWidth="1"/>
    <col min="5" max="5" width="11.28125" style="44" customWidth="1"/>
    <col min="6" max="16384" width="9.140625" style="44" customWidth="1"/>
  </cols>
  <sheetData>
    <row r="1" s="43" customFormat="1" ht="15.75">
      <c r="A1" s="43" t="s">
        <v>384</v>
      </c>
    </row>
    <row r="2" ht="15.75" customHeight="1">
      <c r="A2" s="43" t="s">
        <v>449</v>
      </c>
    </row>
    <row r="3" spans="1:5" ht="15.75">
      <c r="A3" s="45" t="s">
        <v>385</v>
      </c>
      <c r="C3" s="44" t="s">
        <v>386</v>
      </c>
      <c r="D3" s="46" t="s">
        <v>387</v>
      </c>
      <c r="E3" s="44" t="s">
        <v>388</v>
      </c>
    </row>
    <row r="4" spans="1:5" ht="15.75">
      <c r="A4" s="44" t="s">
        <v>389</v>
      </c>
      <c r="C4" s="44">
        <v>69</v>
      </c>
      <c r="D4" s="44">
        <v>479</v>
      </c>
      <c r="E4" s="44">
        <f>9*D4*C4</f>
        <v>297459</v>
      </c>
    </row>
    <row r="5" spans="1:5" ht="15.75">
      <c r="A5" s="44" t="s">
        <v>390</v>
      </c>
      <c r="C5" s="44">
        <f>11-2</f>
        <v>9</v>
      </c>
      <c r="D5" s="44">
        <v>1358</v>
      </c>
      <c r="E5" s="43">
        <f>C5*D5*12</f>
        <v>146664</v>
      </c>
    </row>
    <row r="6" spans="1:5" ht="15.75">
      <c r="A6" s="44" t="s">
        <v>391</v>
      </c>
      <c r="C6" s="44">
        <v>10</v>
      </c>
      <c r="D6" s="44">
        <v>1067</v>
      </c>
      <c r="E6" s="44">
        <f>C6*D6*9</f>
        <v>96030</v>
      </c>
    </row>
    <row r="7" spans="1:5" s="43" customFormat="1" ht="15.75">
      <c r="A7" s="43" t="s">
        <v>392</v>
      </c>
      <c r="E7" s="43">
        <f>SUM(E4:E6)</f>
        <v>540153</v>
      </c>
    </row>
    <row r="9" ht="15.75">
      <c r="A9" s="45" t="s">
        <v>393</v>
      </c>
    </row>
    <row r="10" spans="1:5" ht="15.75">
      <c r="A10" s="44" t="s">
        <v>394</v>
      </c>
      <c r="C10" s="44">
        <f>17-2</f>
        <v>15</v>
      </c>
      <c r="D10" s="44">
        <v>479</v>
      </c>
      <c r="E10" s="44">
        <f>C10*D10*9</f>
        <v>64665</v>
      </c>
    </row>
    <row r="11" spans="1:5" ht="15.75">
      <c r="A11" s="44" t="s">
        <v>390</v>
      </c>
      <c r="C11" s="44">
        <v>1</v>
      </c>
      <c r="D11" s="44">
        <v>1409</v>
      </c>
      <c r="E11" s="43">
        <f>C11*D11*11</f>
        <v>15499</v>
      </c>
    </row>
    <row r="12" spans="1:5" ht="15.75">
      <c r="A12" s="44" t="s">
        <v>395</v>
      </c>
      <c r="C12" s="44">
        <v>3</v>
      </c>
      <c r="D12" s="44">
        <v>500</v>
      </c>
      <c r="E12" s="44">
        <f>C12*D12*9</f>
        <v>13500</v>
      </c>
    </row>
    <row r="13" spans="1:5" ht="15.75">
      <c r="A13" s="43" t="s">
        <v>392</v>
      </c>
      <c r="E13" s="43">
        <f>SUM(E10:E12)</f>
        <v>93664</v>
      </c>
    </row>
    <row r="15" s="43" customFormat="1" ht="15.75">
      <c r="A15" s="45" t="s">
        <v>396</v>
      </c>
    </row>
    <row r="16" spans="1:5" ht="15.75">
      <c r="A16" s="44" t="s">
        <v>397</v>
      </c>
      <c r="C16" s="44">
        <f>23</f>
        <v>23</v>
      </c>
      <c r="D16" s="44">
        <v>402</v>
      </c>
      <c r="E16" s="44">
        <f>C16*D16*12</f>
        <v>110952</v>
      </c>
    </row>
    <row r="17" spans="1:5" ht="15.75">
      <c r="A17" s="44" t="s">
        <v>390</v>
      </c>
      <c r="C17" s="44">
        <f>11-6+1</f>
        <v>6</v>
      </c>
      <c r="D17" s="44">
        <v>1926</v>
      </c>
      <c r="E17" s="43">
        <f>C17*D17*12</f>
        <v>138672</v>
      </c>
    </row>
    <row r="18" spans="1:5" ht="15.75">
      <c r="A18" s="43" t="s">
        <v>392</v>
      </c>
      <c r="E18" s="43">
        <f>SUM(E16:E17)</f>
        <v>249624</v>
      </c>
    </row>
    <row r="19" ht="15.75">
      <c r="A19" s="45"/>
    </row>
    <row r="20" ht="15.75">
      <c r="A20" s="45" t="s">
        <v>398</v>
      </c>
    </row>
    <row r="21" spans="1:5" ht="15.75">
      <c r="A21" s="44" t="s">
        <v>399</v>
      </c>
      <c r="C21" s="44">
        <v>2</v>
      </c>
      <c r="D21" s="44">
        <v>761</v>
      </c>
      <c r="E21" s="44">
        <f>C21*D21*12</f>
        <v>18264</v>
      </c>
    </row>
    <row r="23" ht="15.75">
      <c r="A23" s="45" t="s">
        <v>400</v>
      </c>
    </row>
    <row r="24" spans="1:5" ht="15.75">
      <c r="A24" s="44" t="s">
        <v>394</v>
      </c>
      <c r="B24" s="44" t="s">
        <v>401</v>
      </c>
      <c r="D24" s="44">
        <v>382</v>
      </c>
      <c r="E24" s="44">
        <f>C24*D24*12</f>
        <v>0</v>
      </c>
    </row>
    <row r="26" ht="15.75">
      <c r="A26" s="45" t="s">
        <v>402</v>
      </c>
    </row>
    <row r="27" spans="1:5" ht="15.75">
      <c r="A27" s="44" t="s">
        <v>403</v>
      </c>
      <c r="C27" s="44">
        <v>6</v>
      </c>
      <c r="D27" s="44">
        <v>295</v>
      </c>
      <c r="E27" s="44">
        <f>C27*D27*12</f>
        <v>21240</v>
      </c>
    </row>
    <row r="28" spans="1:5" ht="15.75">
      <c r="A28" s="44" t="s">
        <v>404</v>
      </c>
      <c r="C28" s="44">
        <v>1</v>
      </c>
      <c r="D28" s="44">
        <v>266</v>
      </c>
      <c r="E28" s="44">
        <f>C28*D28*12</f>
        <v>3192</v>
      </c>
    </row>
    <row r="29" spans="1:5" ht="15.75">
      <c r="A29" s="43" t="s">
        <v>392</v>
      </c>
      <c r="E29" s="43">
        <f>SUM(E27:E28)</f>
        <v>24432</v>
      </c>
    </row>
    <row r="30" ht="15.75">
      <c r="A30" s="43"/>
    </row>
    <row r="31" ht="15.75">
      <c r="A31" s="45" t="s">
        <v>405</v>
      </c>
    </row>
    <row r="32" spans="1:5" ht="15.75">
      <c r="A32" s="44" t="s">
        <v>389</v>
      </c>
      <c r="B32" s="44" t="s">
        <v>406</v>
      </c>
      <c r="D32" s="44">
        <v>350</v>
      </c>
      <c r="E32" s="44">
        <f>C32*D32*12</f>
        <v>0</v>
      </c>
    </row>
    <row r="34" ht="15.75">
      <c r="A34" s="45" t="s">
        <v>407</v>
      </c>
    </row>
    <row r="35" spans="1:5" ht="15.75">
      <c r="A35" s="44" t="s">
        <v>389</v>
      </c>
      <c r="C35" s="44">
        <v>0</v>
      </c>
      <c r="D35" s="44">
        <v>360</v>
      </c>
      <c r="E35" s="44">
        <f>C35*D35*12</f>
        <v>0</v>
      </c>
    </row>
    <row r="37" ht="15.75">
      <c r="A37" s="45" t="s">
        <v>408</v>
      </c>
    </row>
    <row r="38" spans="1:5" ht="15.75">
      <c r="A38" s="44" t="s">
        <v>409</v>
      </c>
      <c r="C38" s="44">
        <v>2</v>
      </c>
      <c r="D38" s="44">
        <v>1189</v>
      </c>
      <c r="E38" s="44">
        <f>C38*D38*12</f>
        <v>28536</v>
      </c>
    </row>
    <row r="39" spans="1:5" ht="15.75">
      <c r="A39" s="44" t="s">
        <v>410</v>
      </c>
      <c r="C39" s="44">
        <v>1</v>
      </c>
      <c r="D39" s="44">
        <v>1189</v>
      </c>
      <c r="E39" s="44">
        <f>C39*D39*12</f>
        <v>14268</v>
      </c>
    </row>
    <row r="41" ht="15.75">
      <c r="A41" s="45" t="s">
        <v>411</v>
      </c>
    </row>
    <row r="42" spans="1:5" ht="15.75">
      <c r="A42" s="44" t="s">
        <v>412</v>
      </c>
      <c r="E42" s="44">
        <f>19600-19600</f>
        <v>0</v>
      </c>
    </row>
    <row r="44" spans="1:5" s="47" customFormat="1" ht="18.75">
      <c r="A44" s="47" t="s">
        <v>371</v>
      </c>
      <c r="E44" s="47">
        <f>E42+E39+E38+E35+E32+E29+E24+E21+E18+E13+E7</f>
        <v>968941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1" sqref="A1:IV16384"/>
    </sheetView>
  </sheetViews>
  <sheetFormatPr defaultColWidth="9.140625" defaultRowHeight="12.75"/>
  <cols>
    <col min="1" max="1" width="8.421875" style="98" bestFit="1" customWidth="1"/>
    <col min="2" max="2" width="30.00390625" style="98" customWidth="1"/>
    <col min="3" max="3" width="10.140625" style="98" bestFit="1" customWidth="1"/>
    <col min="4" max="4" width="3.140625" style="98" customWidth="1"/>
    <col min="5" max="5" width="70.28125" style="98" bestFit="1" customWidth="1"/>
    <col min="6" max="16384" width="9.140625" style="98" customWidth="1"/>
  </cols>
  <sheetData>
    <row r="1" spans="1:6" ht="15.75">
      <c r="A1" s="674" t="s">
        <v>922</v>
      </c>
      <c r="F1" s="676"/>
    </row>
    <row r="2" ht="9.75" customHeight="1">
      <c r="E2" s="674"/>
    </row>
    <row r="3" spans="1:5" ht="15.75">
      <c r="A3" s="675"/>
      <c r="B3" s="674" t="s">
        <v>828</v>
      </c>
      <c r="E3" s="100" t="s">
        <v>835</v>
      </c>
    </row>
    <row r="4" spans="1:5" ht="15.75">
      <c r="A4" s="98">
        <v>352002</v>
      </c>
      <c r="B4" s="98" t="s">
        <v>26</v>
      </c>
      <c r="C4" s="678">
        <v>-21000</v>
      </c>
      <c r="D4" s="98" t="s">
        <v>933</v>
      </c>
      <c r="E4" s="98" t="s">
        <v>923</v>
      </c>
    </row>
    <row r="5" spans="1:5" ht="15.75">
      <c r="A5" s="98">
        <v>3000</v>
      </c>
      <c r="B5" s="98" t="s">
        <v>3</v>
      </c>
      <c r="C5" s="678">
        <v>-585000</v>
      </c>
      <c r="D5" s="98" t="s">
        <v>934</v>
      </c>
      <c r="E5" s="98" t="s">
        <v>923</v>
      </c>
    </row>
    <row r="6" spans="1:5" ht="15.75">
      <c r="A6" s="98">
        <v>382</v>
      </c>
      <c r="B6" s="98" t="s">
        <v>924</v>
      </c>
      <c r="C6" s="678">
        <v>40000</v>
      </c>
      <c r="D6" s="98" t="s">
        <v>935</v>
      </c>
      <c r="E6" s="98" t="s">
        <v>927</v>
      </c>
    </row>
    <row r="7" spans="1:5" ht="15.75">
      <c r="A7" s="98">
        <v>352</v>
      </c>
      <c r="B7" s="98" t="s">
        <v>444</v>
      </c>
      <c r="C7" s="678">
        <v>585000</v>
      </c>
      <c r="D7" s="98" t="s">
        <v>934</v>
      </c>
      <c r="E7" s="98" t="s">
        <v>923</v>
      </c>
    </row>
    <row r="8" spans="1:5" ht="15.75">
      <c r="A8" s="98">
        <v>320</v>
      </c>
      <c r="B8" s="98" t="s">
        <v>920</v>
      </c>
      <c r="C8" s="678">
        <v>16000</v>
      </c>
      <c r="D8" s="98" t="s">
        <v>936</v>
      </c>
      <c r="E8" s="98" t="s">
        <v>921</v>
      </c>
    </row>
    <row r="9" spans="1:5" ht="15.75">
      <c r="A9" s="98" t="s">
        <v>952</v>
      </c>
      <c r="B9" s="98" t="s">
        <v>941</v>
      </c>
      <c r="C9" s="678">
        <f>1312000+100000+276000+11000+4000</f>
        <v>1703000</v>
      </c>
      <c r="D9" s="98" t="s">
        <v>478</v>
      </c>
      <c r="E9" s="98" t="s">
        <v>953</v>
      </c>
    </row>
    <row r="10" spans="2:4" s="100" customFormat="1" ht="15.75">
      <c r="B10" s="100" t="s">
        <v>771</v>
      </c>
      <c r="C10" s="641">
        <f>SUM(C4:C9)</f>
        <v>1738000</v>
      </c>
      <c r="D10" s="100" t="s">
        <v>957</v>
      </c>
    </row>
    <row r="11" s="100" customFormat="1" ht="15.75"/>
    <row r="12" ht="15.75">
      <c r="B12" s="674" t="s">
        <v>829</v>
      </c>
    </row>
    <row r="13" spans="1:5" ht="15.75">
      <c r="A13" s="677" t="s">
        <v>907</v>
      </c>
      <c r="B13" s="98" t="s">
        <v>832</v>
      </c>
      <c r="C13" s="678">
        <v>-21000</v>
      </c>
      <c r="D13" s="98" t="s">
        <v>933</v>
      </c>
      <c r="E13" s="98" t="s">
        <v>836</v>
      </c>
    </row>
    <row r="14" spans="1:5" ht="15.75">
      <c r="A14" s="98" t="s">
        <v>908</v>
      </c>
      <c r="B14" s="98" t="s">
        <v>214</v>
      </c>
      <c r="C14" s="678">
        <f>-24000-25000-19470</f>
        <v>-68470</v>
      </c>
      <c r="D14" s="98" t="s">
        <v>937</v>
      </c>
      <c r="E14" s="98" t="s">
        <v>834</v>
      </c>
    </row>
    <row r="15" spans="1:5" ht="15.75">
      <c r="A15" s="98" t="s">
        <v>908</v>
      </c>
      <c r="B15" s="98" t="s">
        <v>214</v>
      </c>
      <c r="C15" s="678">
        <f>25000</f>
        <v>25000</v>
      </c>
      <c r="D15" s="98" t="s">
        <v>937</v>
      </c>
      <c r="E15" s="98" t="s">
        <v>840</v>
      </c>
    </row>
    <row r="16" spans="3:5" ht="15.75">
      <c r="C16" s="678"/>
      <c r="E16" s="98" t="s">
        <v>837</v>
      </c>
    </row>
    <row r="17" spans="3:5" ht="15.75">
      <c r="C17" s="678"/>
      <c r="E17" s="98" t="s">
        <v>839</v>
      </c>
    </row>
    <row r="18" spans="3:5" ht="15.75">
      <c r="C18" s="678"/>
      <c r="E18" s="98" t="s">
        <v>838</v>
      </c>
    </row>
    <row r="19" spans="1:5" ht="15.75">
      <c r="A19" s="677" t="s">
        <v>885</v>
      </c>
      <c r="B19" s="98" t="s">
        <v>929</v>
      </c>
      <c r="C19" s="678">
        <v>19470</v>
      </c>
      <c r="D19" s="98" t="s">
        <v>937</v>
      </c>
      <c r="E19" s="98" t="s">
        <v>930</v>
      </c>
    </row>
    <row r="20" spans="1:5" ht="15.75">
      <c r="A20" s="98" t="s">
        <v>909</v>
      </c>
      <c r="B20" s="98" t="s">
        <v>833</v>
      </c>
      <c r="C20" s="678">
        <v>24000</v>
      </c>
      <c r="D20" s="98" t="s">
        <v>937</v>
      </c>
      <c r="E20" s="98" t="s">
        <v>841</v>
      </c>
    </row>
    <row r="21" spans="1:5" ht="15.75">
      <c r="A21" s="98" t="s">
        <v>895</v>
      </c>
      <c r="B21" s="98" t="s">
        <v>248</v>
      </c>
      <c r="C21" s="678">
        <v>13000</v>
      </c>
      <c r="D21" s="98" t="s">
        <v>938</v>
      </c>
      <c r="E21" s="98" t="s">
        <v>896</v>
      </c>
    </row>
    <row r="22" spans="1:5" ht="15.75">
      <c r="A22" s="677" t="s">
        <v>897</v>
      </c>
      <c r="B22" s="98" t="s">
        <v>127</v>
      </c>
      <c r="C22" s="678">
        <v>-13000</v>
      </c>
      <c r="D22" s="98" t="s">
        <v>938</v>
      </c>
      <c r="E22" s="98" t="s">
        <v>898</v>
      </c>
    </row>
    <row r="23" spans="1:5" ht="15.75">
      <c r="A23" s="677" t="s">
        <v>931</v>
      </c>
      <c r="B23" s="98" t="s">
        <v>439</v>
      </c>
      <c r="C23" s="678">
        <v>16000</v>
      </c>
      <c r="D23" s="98" t="s">
        <v>936</v>
      </c>
      <c r="E23" s="98" t="s">
        <v>928</v>
      </c>
    </row>
    <row r="24" spans="1:5" ht="15.75">
      <c r="A24" s="677" t="s">
        <v>932</v>
      </c>
      <c r="B24" s="98" t="s">
        <v>926</v>
      </c>
      <c r="C24" s="678">
        <v>16000</v>
      </c>
      <c r="D24" s="98" t="s">
        <v>935</v>
      </c>
      <c r="E24" s="98" t="s">
        <v>925</v>
      </c>
    </row>
    <row r="25" spans="1:5" ht="15.75">
      <c r="A25" s="677" t="s">
        <v>940</v>
      </c>
      <c r="B25" s="98" t="s">
        <v>194</v>
      </c>
      <c r="C25" s="678">
        <v>24000</v>
      </c>
      <c r="D25" s="98" t="s">
        <v>935</v>
      </c>
      <c r="E25" s="98" t="s">
        <v>939</v>
      </c>
    </row>
    <row r="26" spans="1:5" ht="15.75">
      <c r="A26" s="677">
        <v>10200</v>
      </c>
      <c r="B26" s="98" t="s">
        <v>947</v>
      </c>
      <c r="C26" s="678">
        <v>8000</v>
      </c>
      <c r="D26" s="98" t="s">
        <v>942</v>
      </c>
      <c r="E26" s="98" t="s">
        <v>948</v>
      </c>
    </row>
    <row r="27" spans="1:5" ht="15.75">
      <c r="A27" s="677">
        <v>10402</v>
      </c>
      <c r="B27" s="98" t="s">
        <v>949</v>
      </c>
      <c r="C27" s="678">
        <v>-8000</v>
      </c>
      <c r="D27" s="98" t="s">
        <v>942</v>
      </c>
      <c r="E27" s="98" t="s">
        <v>950</v>
      </c>
    </row>
    <row r="28" spans="1:5" ht="15.75">
      <c r="A28" s="99"/>
      <c r="B28" s="98" t="s">
        <v>956</v>
      </c>
      <c r="C28" s="678">
        <f>1312000</f>
        <v>1312000</v>
      </c>
      <c r="D28" s="98" t="s">
        <v>957</v>
      </c>
      <c r="E28" s="98" t="s">
        <v>955</v>
      </c>
    </row>
    <row r="29" spans="1:5" ht="15.75">
      <c r="A29" s="99"/>
      <c r="B29" s="98" t="s">
        <v>954</v>
      </c>
      <c r="C29" s="678">
        <f>100000+276000+11000+4000</f>
        <v>391000</v>
      </c>
      <c r="D29" s="98" t="s">
        <v>957</v>
      </c>
      <c r="E29" s="98" t="s">
        <v>972</v>
      </c>
    </row>
    <row r="30" spans="1:3" s="100" customFormat="1" ht="15.75">
      <c r="A30" s="675"/>
      <c r="B30" s="100" t="s">
        <v>771</v>
      </c>
      <c r="C30" s="641">
        <f>SUM(C13:C29)</f>
        <v>1738000</v>
      </c>
    </row>
    <row r="31" ht="8.25" customHeight="1">
      <c r="A31" s="99"/>
    </row>
    <row r="32" spans="1:2" ht="15.75">
      <c r="A32" s="99"/>
      <c r="B32" s="674" t="s">
        <v>958</v>
      </c>
    </row>
    <row r="33" spans="1:5" ht="15.75">
      <c r="A33" s="99" t="s">
        <v>901</v>
      </c>
      <c r="B33" s="98" t="s">
        <v>899</v>
      </c>
      <c r="C33" s="98">
        <v>110000</v>
      </c>
      <c r="E33" s="98" t="s">
        <v>900</v>
      </c>
    </row>
    <row r="34" spans="1:5" ht="15.75">
      <c r="A34" s="99" t="s">
        <v>906</v>
      </c>
      <c r="B34" s="98" t="s">
        <v>904</v>
      </c>
      <c r="C34" s="98">
        <v>-20000</v>
      </c>
      <c r="E34" s="98" t="s">
        <v>834</v>
      </c>
    </row>
    <row r="35" spans="1:5" ht="15.75">
      <c r="A35" s="99" t="s">
        <v>751</v>
      </c>
      <c r="B35" s="98" t="s">
        <v>951</v>
      </c>
      <c r="C35" s="98">
        <v>-100000</v>
      </c>
      <c r="E35" s="98" t="s">
        <v>905</v>
      </c>
    </row>
    <row r="36" spans="2:5" ht="15.75">
      <c r="B36" s="656" t="s">
        <v>943</v>
      </c>
      <c r="C36" s="657">
        <v>61000</v>
      </c>
      <c r="E36" s="656" t="s">
        <v>944</v>
      </c>
    </row>
    <row r="37" spans="1:5" ht="15.75">
      <c r="A37" s="99" t="s">
        <v>751</v>
      </c>
      <c r="B37" s="679" t="s">
        <v>946</v>
      </c>
      <c r="C37" s="100"/>
      <c r="E37" s="98" t="s">
        <v>945</v>
      </c>
    </row>
  </sheetData>
  <printOptions/>
  <pageMargins left="0.7480314960629921" right="0.7480314960629921" top="0.3937007874015748" bottom="0.1968503937007874" header="0.11811023622047245" footer="0.11811023622047245"/>
  <pageSetup horizontalDpi="600" verticalDpi="600" orientation="landscape" paperSize="9" r:id="rId1"/>
  <headerFooter alignWithMargins="0">
    <oddHeader>&amp;R
&amp;D &amp;T 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B1">
      <selection activeCell="B1" sqref="A1:IV16384"/>
    </sheetView>
  </sheetViews>
  <sheetFormatPr defaultColWidth="9.140625" defaultRowHeight="12.75"/>
  <cols>
    <col min="1" max="1" width="10.00390625" style="98" hidden="1" customWidth="1"/>
    <col min="2" max="2" width="24.28125" style="98" customWidth="1"/>
    <col min="3" max="3" width="15.28125" style="98" bestFit="1" customWidth="1"/>
    <col min="4" max="4" width="29.140625" style="98" customWidth="1"/>
    <col min="5" max="5" width="9.140625" style="98" customWidth="1"/>
    <col min="6" max="6" width="17.7109375" style="98" bestFit="1" customWidth="1"/>
    <col min="7" max="16384" width="9.140625" style="98" customWidth="1"/>
  </cols>
  <sheetData>
    <row r="1" spans="5:6" ht="15.75">
      <c r="E1" s="679" t="s">
        <v>880</v>
      </c>
      <c r="F1" s="690"/>
    </row>
    <row r="2" ht="15.75">
      <c r="E2" s="679" t="s">
        <v>1019</v>
      </c>
    </row>
    <row r="3" ht="15.75">
      <c r="E3" s="679" t="s">
        <v>976</v>
      </c>
    </row>
    <row r="6" ht="15.75">
      <c r="F6" s="687"/>
    </row>
    <row r="7" spans="2:6" ht="15.75">
      <c r="B7" s="674" t="s">
        <v>768</v>
      </c>
      <c r="D7" s="674" t="s">
        <v>769</v>
      </c>
      <c r="F7" s="687"/>
    </row>
    <row r="8" spans="1:7" ht="18.75">
      <c r="A8" s="98" t="s">
        <v>813</v>
      </c>
      <c r="B8" s="98" t="s">
        <v>969</v>
      </c>
      <c r="C8" s="98">
        <v>10074</v>
      </c>
      <c r="D8" s="98" t="s">
        <v>977</v>
      </c>
      <c r="F8" s="688"/>
      <c r="G8" s="100"/>
    </row>
    <row r="9" spans="2:6" ht="15.75">
      <c r="B9" s="98" t="s">
        <v>890</v>
      </c>
      <c r="C9" s="98">
        <f>18198</f>
        <v>18198</v>
      </c>
      <c r="D9" s="98" t="s">
        <v>977</v>
      </c>
      <c r="F9" s="689"/>
    </row>
    <row r="10" spans="2:6" ht="15.75">
      <c r="B10" s="98" t="s">
        <v>890</v>
      </c>
      <c r="C10" s="98">
        <f>12678+1377</f>
        <v>14055</v>
      </c>
      <c r="D10" s="98" t="s">
        <v>978</v>
      </c>
      <c r="F10" s="687"/>
    </row>
    <row r="11" spans="2:6" ht="15.75">
      <c r="B11" s="98" t="s">
        <v>969</v>
      </c>
      <c r="C11" s="98">
        <f>24966+7955</f>
        <v>32921</v>
      </c>
      <c r="D11" s="98" t="s">
        <v>978</v>
      </c>
      <c r="F11" s="689"/>
    </row>
    <row r="12" spans="2:6" ht="15.75">
      <c r="B12" s="98" t="s">
        <v>979</v>
      </c>
      <c r="C12" s="98">
        <f>8000</f>
        <v>8000</v>
      </c>
      <c r="D12" s="98" t="s">
        <v>978</v>
      </c>
      <c r="F12" s="689"/>
    </row>
    <row r="13" spans="1:4" ht="15.75">
      <c r="A13" s="98" t="s">
        <v>813</v>
      </c>
      <c r="B13" s="98" t="s">
        <v>806</v>
      </c>
      <c r="C13" s="98">
        <v>11000</v>
      </c>
      <c r="D13" s="98" t="s">
        <v>978</v>
      </c>
    </row>
    <row r="14" spans="2:4" ht="15.75">
      <c r="B14" s="98" t="s">
        <v>890</v>
      </c>
      <c r="C14" s="98">
        <v>114415</v>
      </c>
      <c r="D14" s="98" t="s">
        <v>980</v>
      </c>
    </row>
    <row r="15" spans="2:4" ht="15.75">
      <c r="B15" s="98" t="s">
        <v>969</v>
      </c>
      <c r="C15" s="98">
        <f>16116+3130</f>
        <v>19246</v>
      </c>
      <c r="D15" s="98" t="s">
        <v>980</v>
      </c>
    </row>
    <row r="16" spans="2:4" ht="15.75">
      <c r="B16" s="98" t="s">
        <v>1002</v>
      </c>
      <c r="C16" s="691">
        <f>4049.75</f>
        <v>4049.75</v>
      </c>
      <c r="D16" s="98" t="s">
        <v>980</v>
      </c>
    </row>
    <row r="17" spans="2:4" ht="15.75">
      <c r="B17" s="98" t="s">
        <v>1001</v>
      </c>
      <c r="C17" s="98">
        <f>1336</f>
        <v>1336</v>
      </c>
      <c r="D17" s="98" t="s">
        <v>980</v>
      </c>
    </row>
    <row r="18" spans="2:4" ht="15.75">
      <c r="B18" s="98" t="s">
        <v>995</v>
      </c>
      <c r="C18" s="98">
        <v>50000</v>
      </c>
      <c r="D18" s="98" t="s">
        <v>980</v>
      </c>
    </row>
    <row r="19" spans="2:3" s="100" customFormat="1" ht="15.75">
      <c r="B19" s="100" t="s">
        <v>771</v>
      </c>
      <c r="C19" s="692">
        <f>SUM(C8:C18)</f>
        <v>283294.75</v>
      </c>
    </row>
    <row r="20" ht="28.5" customHeight="1"/>
    <row r="21" ht="15.75">
      <c r="B21" s="674" t="s">
        <v>772</v>
      </c>
    </row>
    <row r="22" spans="2:4" ht="15.75">
      <c r="B22" s="98" t="s">
        <v>969</v>
      </c>
      <c r="C22" s="98">
        <v>10074</v>
      </c>
      <c r="D22" s="98" t="s">
        <v>981</v>
      </c>
    </row>
    <row r="23" spans="1:4" ht="15.75">
      <c r="A23" s="677" t="s">
        <v>823</v>
      </c>
      <c r="B23" s="98" t="s">
        <v>890</v>
      </c>
      <c r="C23" s="98">
        <f>18198</f>
        <v>18198</v>
      </c>
      <c r="D23" s="98" t="s">
        <v>981</v>
      </c>
    </row>
    <row r="24" spans="1:4" ht="15.75">
      <c r="A24" s="677"/>
      <c r="B24" s="98" t="s">
        <v>890</v>
      </c>
      <c r="C24" s="98">
        <f>12678+1377</f>
        <v>14055</v>
      </c>
      <c r="D24" s="98" t="s">
        <v>982</v>
      </c>
    </row>
    <row r="25" spans="1:4" ht="15.75">
      <c r="A25" s="677"/>
      <c r="B25" s="98" t="s">
        <v>969</v>
      </c>
      <c r="C25" s="98">
        <f>24966</f>
        <v>24966</v>
      </c>
      <c r="D25" s="98" t="s">
        <v>983</v>
      </c>
    </row>
    <row r="26" spans="1:4" ht="15.75">
      <c r="A26" s="677"/>
      <c r="B26" s="98" t="s">
        <v>979</v>
      </c>
      <c r="C26" s="98">
        <f>8000</f>
        <v>8000</v>
      </c>
      <c r="D26" s="98" t="s">
        <v>982</v>
      </c>
    </row>
    <row r="27" spans="1:4" ht="15.75">
      <c r="A27" s="677"/>
      <c r="B27" s="98" t="s">
        <v>806</v>
      </c>
      <c r="C27" s="98">
        <v>11000</v>
      </c>
      <c r="D27" s="98" t="s">
        <v>982</v>
      </c>
    </row>
    <row r="28" spans="1:4" ht="15.75">
      <c r="A28" s="677" t="s">
        <v>823</v>
      </c>
      <c r="B28" s="98" t="s">
        <v>890</v>
      </c>
      <c r="C28" s="98">
        <v>114415</v>
      </c>
      <c r="D28" s="98" t="s">
        <v>997</v>
      </c>
    </row>
    <row r="29" spans="1:4" ht="15.75">
      <c r="A29" s="677"/>
      <c r="B29" s="98" t="s">
        <v>969</v>
      </c>
      <c r="C29" s="98">
        <f>16116+3130+7955</f>
        <v>27201</v>
      </c>
      <c r="D29" s="98" t="s">
        <v>1003</v>
      </c>
    </row>
    <row r="30" spans="1:4" ht="15.75">
      <c r="A30" s="677"/>
      <c r="B30" s="98" t="s">
        <v>996</v>
      </c>
      <c r="C30" s="98">
        <v>50000</v>
      </c>
      <c r="D30" s="98" t="s">
        <v>997</v>
      </c>
    </row>
    <row r="31" spans="1:4" ht="15.75">
      <c r="A31" s="677"/>
      <c r="B31" s="98" t="s">
        <v>1001</v>
      </c>
      <c r="C31" s="98">
        <v>1336</v>
      </c>
      <c r="D31" s="98" t="s">
        <v>997</v>
      </c>
    </row>
    <row r="32" spans="1:4" ht="15.75">
      <c r="A32" s="677" t="s">
        <v>823</v>
      </c>
      <c r="B32" s="98" t="s">
        <v>1002</v>
      </c>
      <c r="C32" s="691">
        <f>4049.75</f>
        <v>4049.75</v>
      </c>
      <c r="D32" s="98" t="s">
        <v>997</v>
      </c>
    </row>
    <row r="33" spans="2:3" s="100" customFormat="1" ht="15.75">
      <c r="B33" s="100" t="s">
        <v>771</v>
      </c>
      <c r="C33" s="692">
        <f>SUM(C22:C32)</f>
        <v>283294.75</v>
      </c>
    </row>
    <row r="34" ht="15.75">
      <c r="C34" s="693">
        <f>C19-C33</f>
        <v>0</v>
      </c>
    </row>
    <row r="35" ht="15.75">
      <c r="C35" s="691"/>
    </row>
    <row r="36" spans="2:3" ht="15.75">
      <c r="B36" s="98" t="s">
        <v>998</v>
      </c>
      <c r="C36" s="689">
        <f>13569000+1773000</f>
        <v>15342000</v>
      </c>
    </row>
    <row r="37" spans="2:3" ht="15.75">
      <c r="B37" s="98" t="s">
        <v>999</v>
      </c>
      <c r="C37" s="689">
        <f>siht1!E23+siht2!D16+siht3!E16+siht4!D23</f>
        <v>3407593.25</v>
      </c>
    </row>
    <row r="38" spans="2:3" ht="15.75">
      <c r="B38" s="98" t="s">
        <v>1000</v>
      </c>
      <c r="C38" s="689">
        <f>C19</f>
        <v>283294.75</v>
      </c>
    </row>
    <row r="39" spans="2:3" ht="15.75">
      <c r="B39" s="98" t="s">
        <v>434</v>
      </c>
      <c r="C39" s="687">
        <f>SUM(C36:C38)</f>
        <v>19032888</v>
      </c>
    </row>
    <row r="40" ht="15.75">
      <c r="C40" s="67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B1">
      <selection activeCell="B1" sqref="A1:IV16384"/>
    </sheetView>
  </sheetViews>
  <sheetFormatPr defaultColWidth="9.140625" defaultRowHeight="12.75"/>
  <cols>
    <col min="1" max="1" width="10.00390625" style="98" hidden="1" customWidth="1"/>
    <col min="2" max="2" width="6.57421875" style="98" customWidth="1"/>
    <col min="3" max="3" width="24.28125" style="98" bestFit="1" customWidth="1"/>
    <col min="4" max="4" width="9.140625" style="98" customWidth="1"/>
    <col min="5" max="5" width="1.57421875" style="98" customWidth="1"/>
    <col min="6" max="6" width="46.28125" style="98" bestFit="1" customWidth="1"/>
    <col min="7" max="16384" width="9.140625" style="98" customWidth="1"/>
  </cols>
  <sheetData>
    <row r="1" ht="15.75">
      <c r="H1" s="690"/>
    </row>
    <row r="3" ht="15.75">
      <c r="F3" s="679" t="s">
        <v>880</v>
      </c>
    </row>
    <row r="4" ht="15.75">
      <c r="F4" s="679" t="s">
        <v>1018</v>
      </c>
    </row>
    <row r="5" ht="15.75">
      <c r="F5" s="679" t="s">
        <v>881</v>
      </c>
    </row>
    <row r="6" ht="15.75">
      <c r="G6" s="679"/>
    </row>
    <row r="9" spans="3:6" ht="15.75">
      <c r="C9" s="674" t="s">
        <v>768</v>
      </c>
      <c r="F9" s="674" t="s">
        <v>769</v>
      </c>
    </row>
    <row r="10" spans="1:6" ht="15.75">
      <c r="A10" s="98" t="s">
        <v>813</v>
      </c>
      <c r="C10" s="98" t="s">
        <v>892</v>
      </c>
      <c r="D10" s="98">
        <v>20000</v>
      </c>
      <c r="F10" s="98" t="s">
        <v>886</v>
      </c>
    </row>
    <row r="11" spans="3:6" ht="15.75">
      <c r="C11" s="98" t="s">
        <v>33</v>
      </c>
      <c r="D11" s="98">
        <f>8000+4500+8500</f>
        <v>21000</v>
      </c>
      <c r="F11" s="98" t="s">
        <v>961</v>
      </c>
    </row>
    <row r="12" spans="3:6" ht="15.75">
      <c r="C12" s="98" t="s">
        <v>865</v>
      </c>
      <c r="D12" s="98">
        <v>16162</v>
      </c>
      <c r="F12" s="98" t="s">
        <v>962</v>
      </c>
    </row>
    <row r="13" spans="3:6" ht="15.75">
      <c r="C13" s="98" t="s">
        <v>963</v>
      </c>
      <c r="D13" s="98">
        <v>58000</v>
      </c>
      <c r="F13" s="98" t="s">
        <v>834</v>
      </c>
    </row>
    <row r="14" spans="3:6" ht="15.75">
      <c r="C14" s="98" t="s">
        <v>959</v>
      </c>
      <c r="D14" s="98">
        <v>4000</v>
      </c>
      <c r="F14" s="98" t="s">
        <v>960</v>
      </c>
    </row>
    <row r="15" spans="1:6" ht="15.75">
      <c r="A15" s="98" t="s">
        <v>813</v>
      </c>
      <c r="C15" s="98" t="s">
        <v>990</v>
      </c>
      <c r="D15" s="98">
        <f>7500+78750-7500</f>
        <v>78750</v>
      </c>
      <c r="F15" s="98" t="s">
        <v>966</v>
      </c>
    </row>
    <row r="16" spans="3:6" ht="15.75">
      <c r="C16" s="98" t="s">
        <v>847</v>
      </c>
      <c r="D16" s="98">
        <f>-35000</f>
        <v>-35000</v>
      </c>
      <c r="E16" s="98">
        <f>341580</f>
        <v>341580</v>
      </c>
      <c r="F16" s="98" t="s">
        <v>848</v>
      </c>
    </row>
    <row r="17" spans="3:6" ht="15.75">
      <c r="C17" s="98" t="s">
        <v>847</v>
      </c>
      <c r="D17" s="98">
        <v>225000</v>
      </c>
      <c r="F17" s="98" t="s">
        <v>842</v>
      </c>
    </row>
    <row r="18" spans="3:6" ht="15.75">
      <c r="C18" s="98" t="s">
        <v>33</v>
      </c>
      <c r="D18" s="98">
        <v>25275</v>
      </c>
      <c r="F18" s="98" t="s">
        <v>986</v>
      </c>
    </row>
    <row r="19" spans="3:6" ht="15.75">
      <c r="C19" s="98" t="s">
        <v>864</v>
      </c>
      <c r="D19" s="98">
        <f>5512</f>
        <v>5512</v>
      </c>
      <c r="F19" s="98" t="s">
        <v>987</v>
      </c>
    </row>
    <row r="20" spans="3:6" ht="15.75">
      <c r="C20" s="98" t="s">
        <v>989</v>
      </c>
      <c r="D20" s="98">
        <f>12000</f>
        <v>12000</v>
      </c>
      <c r="F20" s="98" t="s">
        <v>961</v>
      </c>
    </row>
    <row r="21" spans="3:6" ht="15.75">
      <c r="C21" s="98" t="s">
        <v>804</v>
      </c>
      <c r="D21" s="691">
        <f>8267.9+4000+4520+11639+50</f>
        <v>28476.9</v>
      </c>
      <c r="F21" s="98" t="s">
        <v>993</v>
      </c>
    </row>
    <row r="22" spans="3:6" ht="15.75">
      <c r="C22" s="98" t="s">
        <v>902</v>
      </c>
      <c r="D22" s="98">
        <v>4220</v>
      </c>
      <c r="F22" s="98" t="s">
        <v>1004</v>
      </c>
    </row>
    <row r="23" spans="3:4" s="100" customFormat="1" ht="15.75">
      <c r="C23" s="100" t="s">
        <v>771</v>
      </c>
      <c r="D23" s="692">
        <f>SUM(D10:D22)</f>
        <v>463395.9</v>
      </c>
    </row>
    <row r="24" ht="13.5" customHeight="1"/>
    <row r="25" ht="15.75">
      <c r="C25" s="674" t="s">
        <v>772</v>
      </c>
    </row>
    <row r="26" spans="3:6" ht="15.75">
      <c r="C26" s="98" t="s">
        <v>929</v>
      </c>
      <c r="D26" s="98">
        <v>18000</v>
      </c>
      <c r="F26" s="98" t="s">
        <v>994</v>
      </c>
    </row>
    <row r="27" spans="1:6" ht="15.75">
      <c r="A27" s="677" t="s">
        <v>823</v>
      </c>
      <c r="B27" s="677"/>
      <c r="C27" s="98" t="s">
        <v>964</v>
      </c>
      <c r="D27" s="98">
        <v>2000</v>
      </c>
      <c r="F27" s="98" t="s">
        <v>965</v>
      </c>
    </row>
    <row r="28" spans="1:6" ht="15.75">
      <c r="A28" s="677"/>
      <c r="B28" s="677"/>
      <c r="C28" s="98" t="s">
        <v>798</v>
      </c>
      <c r="D28" s="98">
        <f>7500+78750-7500</f>
        <v>78750</v>
      </c>
      <c r="F28" s="98" t="s">
        <v>971</v>
      </c>
    </row>
    <row r="29" spans="1:6" ht="15.75">
      <c r="A29" s="677"/>
      <c r="B29" s="677"/>
      <c r="C29" s="98" t="s">
        <v>890</v>
      </c>
      <c r="D29" s="98">
        <v>58000</v>
      </c>
      <c r="F29" s="98" t="s">
        <v>967</v>
      </c>
    </row>
    <row r="30" spans="1:6" ht="15.75">
      <c r="A30" s="677"/>
      <c r="B30" s="677"/>
      <c r="C30" s="98" t="s">
        <v>969</v>
      </c>
      <c r="D30" s="98">
        <v>16162</v>
      </c>
      <c r="F30" s="98" t="s">
        <v>970</v>
      </c>
    </row>
    <row r="31" spans="1:6" ht="15.75">
      <c r="A31" s="677"/>
      <c r="B31" s="677"/>
      <c r="C31" s="98" t="s">
        <v>801</v>
      </c>
      <c r="D31" s="98">
        <f>4500+8500</f>
        <v>13000</v>
      </c>
      <c r="F31" s="98" t="s">
        <v>975</v>
      </c>
    </row>
    <row r="32" spans="1:6" ht="15.75">
      <c r="A32" s="677" t="s">
        <v>823</v>
      </c>
      <c r="B32" s="677"/>
      <c r="C32" s="98" t="s">
        <v>959</v>
      </c>
      <c r="D32" s="98">
        <v>4000</v>
      </c>
      <c r="F32" s="98" t="s">
        <v>968</v>
      </c>
    </row>
    <row r="33" spans="1:6" ht="15.75">
      <c r="A33" s="677"/>
      <c r="B33" s="677"/>
      <c r="C33" s="98" t="s">
        <v>779</v>
      </c>
      <c r="D33" s="98">
        <v>8000</v>
      </c>
      <c r="F33" s="98" t="s">
        <v>853</v>
      </c>
    </row>
    <row r="34" spans="1:6" ht="15.75">
      <c r="A34" s="677"/>
      <c r="B34" s="677"/>
      <c r="C34" s="98" t="s">
        <v>848</v>
      </c>
      <c r="D34" s="98">
        <v>-35000</v>
      </c>
      <c r="F34" s="98" t="s">
        <v>974</v>
      </c>
    </row>
    <row r="35" spans="1:6" ht="15.75">
      <c r="A35" s="677"/>
      <c r="B35" s="677"/>
      <c r="C35" s="98" t="s">
        <v>842</v>
      </c>
      <c r="D35" s="98">
        <v>225000</v>
      </c>
      <c r="F35" s="98" t="s">
        <v>973</v>
      </c>
    </row>
    <row r="36" spans="1:6" ht="15.75">
      <c r="A36" s="677"/>
      <c r="B36" s="677"/>
      <c r="C36" s="98" t="s">
        <v>489</v>
      </c>
      <c r="D36" s="98">
        <v>25275</v>
      </c>
      <c r="F36" s="98" t="s">
        <v>985</v>
      </c>
    </row>
    <row r="37" spans="1:6" ht="15.75">
      <c r="A37" s="677"/>
      <c r="B37" s="677"/>
      <c r="C37" s="98" t="s">
        <v>890</v>
      </c>
      <c r="D37" s="98">
        <v>3234</v>
      </c>
      <c r="F37" s="98" t="s">
        <v>988</v>
      </c>
    </row>
    <row r="38" spans="1:6" ht="15.75">
      <c r="A38" s="677"/>
      <c r="B38" s="677"/>
      <c r="C38" s="98" t="s">
        <v>969</v>
      </c>
      <c r="D38" s="98">
        <v>2278</v>
      </c>
      <c r="F38" s="98" t="s">
        <v>988</v>
      </c>
    </row>
    <row r="39" spans="1:6" ht="15.75">
      <c r="A39" s="677"/>
      <c r="B39" s="677"/>
      <c r="C39" s="98" t="s">
        <v>863</v>
      </c>
      <c r="D39" s="98">
        <v>12000</v>
      </c>
      <c r="F39" s="98" t="s">
        <v>984</v>
      </c>
    </row>
    <row r="40" spans="1:6" ht="15.75">
      <c r="A40" s="677"/>
      <c r="B40" s="677"/>
      <c r="C40" s="98" t="s">
        <v>98</v>
      </c>
      <c r="D40" s="98">
        <f>8267.9+11639+50</f>
        <v>19956.9</v>
      </c>
      <c r="F40" s="98" t="s">
        <v>991</v>
      </c>
    </row>
    <row r="41" spans="1:6" ht="15.75">
      <c r="A41" s="677"/>
      <c r="B41" s="677"/>
      <c r="C41" s="98" t="s">
        <v>863</v>
      </c>
      <c r="D41" s="98">
        <f>4000+4520</f>
        <v>8520</v>
      </c>
      <c r="F41" s="98" t="s">
        <v>992</v>
      </c>
    </row>
    <row r="42" spans="1:6" ht="15.75">
      <c r="A42" s="677"/>
      <c r="B42" s="677"/>
      <c r="C42" s="98" t="s">
        <v>890</v>
      </c>
      <c r="D42" s="98">
        <v>1000</v>
      </c>
      <c r="F42" s="98" t="s">
        <v>961</v>
      </c>
    </row>
    <row r="43" spans="1:6" ht="15.75">
      <c r="A43" s="677" t="s">
        <v>823</v>
      </c>
      <c r="B43" s="677"/>
      <c r="C43" s="98" t="s">
        <v>801</v>
      </c>
      <c r="D43" s="98">
        <v>3220</v>
      </c>
      <c r="F43" s="98" t="s">
        <v>1005</v>
      </c>
    </row>
    <row r="44" spans="3:4" s="100" customFormat="1" ht="15.75">
      <c r="C44" s="100" t="s">
        <v>771</v>
      </c>
      <c r="D44" s="692">
        <f>SUM(D26:D43)</f>
        <v>463395.9</v>
      </c>
    </row>
    <row r="45" ht="15.75">
      <c r="D45" s="693">
        <f>D23-D44</f>
        <v>0</v>
      </c>
    </row>
    <row r="46" ht="15.75">
      <c r="D46" s="69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B1">
      <selection activeCell="B1" sqref="A1:IV16384"/>
    </sheetView>
  </sheetViews>
  <sheetFormatPr defaultColWidth="9.140625" defaultRowHeight="12.75"/>
  <cols>
    <col min="1" max="1" width="10.00390625" style="44" hidden="1" customWidth="1"/>
    <col min="2" max="2" width="6.57421875" style="44" bestFit="1" customWidth="1"/>
    <col min="3" max="3" width="18.140625" style="44" customWidth="1"/>
    <col min="4" max="4" width="11.140625" style="44" customWidth="1"/>
    <col min="5" max="5" width="9.140625" style="44" customWidth="1"/>
    <col min="6" max="6" width="1.57421875" style="44" customWidth="1"/>
    <col min="7" max="7" width="15.8515625" style="44" customWidth="1"/>
    <col min="8" max="8" width="2.57421875" style="44" customWidth="1"/>
    <col min="9" max="9" width="9.8515625" style="44" customWidth="1"/>
    <col min="10" max="16384" width="9.140625" style="44" customWidth="1"/>
  </cols>
  <sheetData>
    <row r="1" ht="15.75">
      <c r="K1" s="682"/>
    </row>
    <row r="3" ht="15.75">
      <c r="J3" s="92" t="s">
        <v>880</v>
      </c>
    </row>
    <row r="4" spans="7:10" ht="15.75">
      <c r="G4" s="685"/>
      <c r="J4" s="92" t="s">
        <v>914</v>
      </c>
    </row>
    <row r="5" ht="15.75">
      <c r="J5" s="92" t="s">
        <v>881</v>
      </c>
    </row>
    <row r="6" ht="15.75">
      <c r="J6" s="92"/>
    </row>
    <row r="7" ht="15.75">
      <c r="J7" s="92"/>
    </row>
    <row r="8" ht="15.75">
      <c r="J8" s="92"/>
    </row>
    <row r="9" ht="15.75">
      <c r="J9" s="92"/>
    </row>
    <row r="12" spans="3:7" ht="15.75">
      <c r="C12" s="45" t="s">
        <v>768</v>
      </c>
      <c r="G12" s="43" t="s">
        <v>769</v>
      </c>
    </row>
    <row r="13" spans="1:7" ht="15.75">
      <c r="A13" s="44" t="s">
        <v>813</v>
      </c>
      <c r="C13" s="98" t="s">
        <v>892</v>
      </c>
      <c r="D13" s="98"/>
      <c r="E13" s="98">
        <v>206000</v>
      </c>
      <c r="G13" s="44" t="s">
        <v>886</v>
      </c>
    </row>
    <row r="14" spans="3:7" ht="15.75">
      <c r="C14" s="98" t="s">
        <v>902</v>
      </c>
      <c r="D14" s="98"/>
      <c r="E14" s="98">
        <v>3000</v>
      </c>
      <c r="G14" s="44" t="s">
        <v>893</v>
      </c>
    </row>
    <row r="15" spans="1:7" ht="15.75">
      <c r="A15" s="44" t="s">
        <v>813</v>
      </c>
      <c r="C15" s="98" t="s">
        <v>791</v>
      </c>
      <c r="D15" s="98"/>
      <c r="E15" s="98">
        <f>20200+9800</f>
        <v>30000</v>
      </c>
      <c r="G15" s="44" t="s">
        <v>893</v>
      </c>
    </row>
    <row r="16" spans="3:5" s="43" customFormat="1" ht="15.75">
      <c r="C16" s="43" t="s">
        <v>771</v>
      </c>
      <c r="E16" s="686">
        <f>SUM(E13:E15)</f>
        <v>239000</v>
      </c>
    </row>
    <row r="17" ht="28.5" customHeight="1"/>
    <row r="18" ht="15.75">
      <c r="C18" s="45" t="s">
        <v>772</v>
      </c>
    </row>
    <row r="19" spans="2:7" ht="15.75">
      <c r="B19" s="44" t="s">
        <v>885</v>
      </c>
      <c r="C19" s="44" t="s">
        <v>884</v>
      </c>
      <c r="E19" s="44">
        <v>130000</v>
      </c>
      <c r="G19" s="44" t="s">
        <v>883</v>
      </c>
    </row>
    <row r="20" spans="1:7" ht="15.75">
      <c r="A20" s="105" t="s">
        <v>823</v>
      </c>
      <c r="B20" s="105" t="s">
        <v>821</v>
      </c>
      <c r="C20" s="44" t="s">
        <v>889</v>
      </c>
      <c r="E20" s="44">
        <v>20000</v>
      </c>
      <c r="G20" s="44" t="s">
        <v>887</v>
      </c>
    </row>
    <row r="21" spans="1:7" ht="15.75">
      <c r="A21" s="105"/>
      <c r="B21" s="105"/>
      <c r="E21" s="44">
        <v>2000</v>
      </c>
      <c r="G21" s="44" t="s">
        <v>903</v>
      </c>
    </row>
    <row r="22" spans="1:7" ht="15.75">
      <c r="A22" s="105"/>
      <c r="B22" s="105"/>
      <c r="E22" s="44">
        <v>9800</v>
      </c>
      <c r="G22" s="44" t="s">
        <v>894</v>
      </c>
    </row>
    <row r="23" spans="1:7" ht="15.75">
      <c r="A23" s="105" t="s">
        <v>823</v>
      </c>
      <c r="B23" s="105" t="s">
        <v>824</v>
      </c>
      <c r="C23" s="44" t="s">
        <v>891</v>
      </c>
      <c r="E23" s="44">
        <v>50000</v>
      </c>
      <c r="G23" s="44" t="s">
        <v>888</v>
      </c>
    </row>
    <row r="24" spans="1:7" ht="15.75">
      <c r="A24" s="105" t="s">
        <v>823</v>
      </c>
      <c r="B24" s="105" t="s">
        <v>823</v>
      </c>
      <c r="C24" s="44" t="s">
        <v>890</v>
      </c>
      <c r="E24" s="44">
        <f>6000+20200+1000</f>
        <v>27200</v>
      </c>
      <c r="G24" s="44" t="s">
        <v>915</v>
      </c>
    </row>
    <row r="25" spans="3:5" s="43" customFormat="1" ht="15.75">
      <c r="C25" s="43" t="s">
        <v>771</v>
      </c>
      <c r="E25" s="686">
        <f>SUM(E19:E24)</f>
        <v>239000</v>
      </c>
    </row>
    <row r="26" ht="15.75">
      <c r="E26" s="683">
        <f>E16-E25</f>
        <v>0</v>
      </c>
    </row>
    <row r="27" ht="15.75">
      <c r="E27" s="644"/>
    </row>
  </sheetData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B6">
      <selection activeCell="B6" sqref="A1:IV16384"/>
    </sheetView>
  </sheetViews>
  <sheetFormatPr defaultColWidth="9.140625" defaultRowHeight="12.75"/>
  <cols>
    <col min="1" max="1" width="10.00390625" style="44" hidden="1" customWidth="1"/>
    <col min="2" max="2" width="18.140625" style="44" customWidth="1"/>
    <col min="3" max="3" width="11.140625" style="44" customWidth="1"/>
    <col min="4" max="4" width="9.140625" style="44" customWidth="1"/>
    <col min="5" max="5" width="6.28125" style="44" customWidth="1"/>
    <col min="6" max="6" width="15.8515625" style="44" customWidth="1"/>
    <col min="7" max="7" width="2.57421875" style="44" customWidth="1"/>
    <col min="8" max="8" width="9.8515625" style="44" customWidth="1"/>
    <col min="9" max="16384" width="9.140625" style="44" customWidth="1"/>
  </cols>
  <sheetData>
    <row r="1" ht="15.75">
      <c r="I1" s="92" t="s">
        <v>880</v>
      </c>
    </row>
    <row r="2" spans="6:9" ht="15.75">
      <c r="F2" s="685"/>
      <c r="I2" s="92" t="s">
        <v>882</v>
      </c>
    </row>
    <row r="3" ht="15.75">
      <c r="I3" s="92" t="s">
        <v>881</v>
      </c>
    </row>
    <row r="5" ht="33" customHeight="1"/>
    <row r="6" spans="2:6" ht="15.75">
      <c r="B6" s="45" t="s">
        <v>768</v>
      </c>
      <c r="F6" s="43" t="s">
        <v>769</v>
      </c>
    </row>
    <row r="7" spans="1:6" ht="15.75">
      <c r="A7" s="44" t="s">
        <v>813</v>
      </c>
      <c r="B7" s="98" t="s">
        <v>33</v>
      </c>
      <c r="C7" s="98"/>
      <c r="D7" s="98">
        <v>500000</v>
      </c>
      <c r="F7" s="44" t="s">
        <v>843</v>
      </c>
    </row>
    <row r="8" spans="1:6" ht="15.75">
      <c r="A8" s="44" t="s">
        <v>813</v>
      </c>
      <c r="B8" s="98" t="s">
        <v>33</v>
      </c>
      <c r="C8" s="98"/>
      <c r="D8" s="98">
        <v>500000</v>
      </c>
      <c r="F8" s="44" t="s">
        <v>844</v>
      </c>
    </row>
    <row r="9" spans="1:6" ht="15.75">
      <c r="A9" s="44" t="s">
        <v>813</v>
      </c>
      <c r="B9" s="98" t="s">
        <v>33</v>
      </c>
      <c r="C9" s="98"/>
      <c r="D9" s="98">
        <v>25000</v>
      </c>
      <c r="F9" s="44" t="s">
        <v>780</v>
      </c>
    </row>
    <row r="10" spans="1:6" ht="15.75">
      <c r="A10" s="44" t="s">
        <v>817</v>
      </c>
      <c r="B10" s="98" t="s">
        <v>33</v>
      </c>
      <c r="C10" s="98" t="s">
        <v>845</v>
      </c>
      <c r="D10" s="98">
        <v>5000</v>
      </c>
      <c r="F10" s="44" t="s">
        <v>846</v>
      </c>
    </row>
    <row r="11" spans="1:6" ht="15.75">
      <c r="A11" s="44" t="s">
        <v>815</v>
      </c>
      <c r="B11" s="98" t="s">
        <v>847</v>
      </c>
      <c r="C11" s="98"/>
      <c r="D11" s="98">
        <f>341580</f>
        <v>341580</v>
      </c>
      <c r="F11" s="44" t="s">
        <v>848</v>
      </c>
    </row>
    <row r="12" spans="1:6" ht="15.75">
      <c r="A12" s="44" t="s">
        <v>815</v>
      </c>
      <c r="B12" s="98" t="s">
        <v>32</v>
      </c>
      <c r="C12" s="98"/>
      <c r="D12" s="98">
        <v>583000</v>
      </c>
      <c r="F12" s="44" t="s">
        <v>753</v>
      </c>
    </row>
    <row r="13" spans="2:6" ht="15.75">
      <c r="B13" s="98" t="s">
        <v>32</v>
      </c>
      <c r="C13" s="98"/>
      <c r="D13" s="98">
        <v>33500</v>
      </c>
      <c r="F13" s="44" t="s">
        <v>851</v>
      </c>
    </row>
    <row r="14" spans="1:6" ht="15.75">
      <c r="A14" s="44" t="s">
        <v>816</v>
      </c>
      <c r="B14" s="98" t="s">
        <v>804</v>
      </c>
      <c r="C14" s="98"/>
      <c r="D14" s="98">
        <v>18000</v>
      </c>
      <c r="F14" s="44" t="s">
        <v>852</v>
      </c>
    </row>
    <row r="15" spans="1:6" ht="15.75">
      <c r="A15" s="44" t="s">
        <v>818</v>
      </c>
      <c r="B15" s="98" t="s">
        <v>849</v>
      </c>
      <c r="C15" s="98"/>
      <c r="D15" s="98">
        <v>200000</v>
      </c>
      <c r="F15" s="44" t="s">
        <v>850</v>
      </c>
    </row>
    <row r="16" spans="2:4" s="43" customFormat="1" ht="15.75">
      <c r="B16" s="43" t="s">
        <v>771</v>
      </c>
      <c r="D16" s="686">
        <f>SUM(D7:D15)</f>
        <v>2206080</v>
      </c>
    </row>
    <row r="17" ht="28.5" customHeight="1"/>
    <row r="18" ht="15.75">
      <c r="B18" s="45" t="s">
        <v>772</v>
      </c>
    </row>
    <row r="19" spans="2:6" ht="15.75">
      <c r="B19" s="44" t="s">
        <v>863</v>
      </c>
      <c r="D19" s="44">
        <v>18000</v>
      </c>
      <c r="F19" s="44" t="s">
        <v>852</v>
      </c>
    </row>
    <row r="20" spans="1:6" ht="15.75">
      <c r="A20" s="105" t="s">
        <v>822</v>
      </c>
      <c r="B20" s="44" t="s">
        <v>780</v>
      </c>
      <c r="D20" s="44">
        <v>25000</v>
      </c>
      <c r="F20" s="44" t="s">
        <v>853</v>
      </c>
    </row>
    <row r="21" spans="1:6" ht="15.75">
      <c r="A21" s="105" t="s">
        <v>823</v>
      </c>
      <c r="B21" s="44" t="s">
        <v>753</v>
      </c>
      <c r="D21" s="44">
        <v>583000</v>
      </c>
      <c r="F21" s="44" t="s">
        <v>854</v>
      </c>
    </row>
    <row r="22" spans="1:6" ht="15.75">
      <c r="A22" s="105" t="s">
        <v>823</v>
      </c>
      <c r="B22" s="44" t="s">
        <v>753</v>
      </c>
      <c r="D22" s="44">
        <v>500000</v>
      </c>
      <c r="F22" s="44" t="s">
        <v>843</v>
      </c>
    </row>
    <row r="23" spans="1:6" ht="15.75">
      <c r="A23" s="105" t="s">
        <v>823</v>
      </c>
      <c r="B23" s="44" t="s">
        <v>753</v>
      </c>
      <c r="D23" s="44">
        <v>17300</v>
      </c>
      <c r="F23" s="44" t="s">
        <v>859</v>
      </c>
    </row>
    <row r="24" spans="1:6" ht="15.75">
      <c r="A24" s="105" t="s">
        <v>823</v>
      </c>
      <c r="B24" s="44" t="s">
        <v>750</v>
      </c>
      <c r="D24" s="644">
        <v>16200</v>
      </c>
      <c r="F24" s="44" t="s">
        <v>860</v>
      </c>
    </row>
    <row r="25" spans="1:6" ht="15.75">
      <c r="A25" s="105" t="s">
        <v>823</v>
      </c>
      <c r="B25" s="44" t="s">
        <v>750</v>
      </c>
      <c r="D25" s="644">
        <v>500000</v>
      </c>
      <c r="F25" s="44" t="s">
        <v>861</v>
      </c>
    </row>
    <row r="26" spans="1:6" ht="15.75">
      <c r="A26" s="105" t="s">
        <v>795</v>
      </c>
      <c r="B26" s="44" t="s">
        <v>750</v>
      </c>
      <c r="D26" s="644">
        <v>341580</v>
      </c>
      <c r="F26" s="44" t="s">
        <v>862</v>
      </c>
    </row>
    <row r="27" spans="1:6" ht="15.75">
      <c r="A27" s="105" t="s">
        <v>825</v>
      </c>
      <c r="B27" s="44" t="s">
        <v>801</v>
      </c>
      <c r="D27" s="644">
        <v>5000</v>
      </c>
      <c r="F27" s="44" t="s">
        <v>855</v>
      </c>
    </row>
    <row r="28" spans="1:6" ht="15.75">
      <c r="A28" s="105" t="s">
        <v>858</v>
      </c>
      <c r="B28" s="44" t="s">
        <v>856</v>
      </c>
      <c r="D28" s="644">
        <v>200000</v>
      </c>
      <c r="F28" s="44" t="s">
        <v>857</v>
      </c>
    </row>
    <row r="29" spans="2:4" s="43" customFormat="1" ht="15.75">
      <c r="B29" s="43" t="s">
        <v>771</v>
      </c>
      <c r="D29" s="686">
        <f>SUM(D19:D28)</f>
        <v>2206080</v>
      </c>
    </row>
    <row r="30" ht="15.75">
      <c r="D30" s="683">
        <f>D16-D29</f>
        <v>0</v>
      </c>
    </row>
  </sheetData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A1" sqref="A1:IV16384"/>
    </sheetView>
  </sheetViews>
  <sheetFormatPr defaultColWidth="9.140625" defaultRowHeight="12.75"/>
  <cols>
    <col min="1" max="1" width="8.421875" style="44" customWidth="1"/>
    <col min="2" max="2" width="18.140625" style="44" customWidth="1"/>
    <col min="3" max="5" width="9.140625" style="44" customWidth="1"/>
    <col min="6" max="6" width="4.57421875" style="44" customWidth="1"/>
    <col min="7" max="7" width="15.8515625" style="44" customWidth="1"/>
    <col min="8" max="8" width="2.57421875" style="44" customWidth="1"/>
    <col min="9" max="9" width="9.8515625" style="44" customWidth="1"/>
    <col min="10" max="10" width="9.140625" style="44" customWidth="1"/>
    <col min="11" max="11" width="14.140625" style="44" bestFit="1" customWidth="1"/>
    <col min="12" max="16384" width="9.140625" style="44" customWidth="1"/>
  </cols>
  <sheetData>
    <row r="1" ht="15.75">
      <c r="I1" s="682"/>
    </row>
    <row r="2" spans="2:7" ht="15.75">
      <c r="B2" s="44" t="s">
        <v>764</v>
      </c>
      <c r="G2" s="685"/>
    </row>
    <row r="3" ht="15.75">
      <c r="B3" s="44" t="s">
        <v>765</v>
      </c>
    </row>
    <row r="5" ht="15.75">
      <c r="B5" s="44" t="s">
        <v>766</v>
      </c>
    </row>
    <row r="6" ht="15.75">
      <c r="B6" s="44" t="s">
        <v>787</v>
      </c>
    </row>
    <row r="8" ht="15.75">
      <c r="B8" s="44" t="s">
        <v>767</v>
      </c>
    </row>
    <row r="10" ht="15.75">
      <c r="B10" s="44" t="s">
        <v>827</v>
      </c>
    </row>
    <row r="12" spans="2:7" ht="15.75">
      <c r="B12" s="45" t="s">
        <v>768</v>
      </c>
      <c r="G12" s="43" t="s">
        <v>769</v>
      </c>
    </row>
    <row r="13" spans="1:7" ht="15.75">
      <c r="A13" s="44" t="s">
        <v>813</v>
      </c>
      <c r="B13" s="98" t="s">
        <v>33</v>
      </c>
      <c r="C13" s="98"/>
      <c r="D13" s="98"/>
      <c r="E13" s="98">
        <f>9820+22000+16552</f>
        <v>48372</v>
      </c>
      <c r="G13" s="44" t="s">
        <v>778</v>
      </c>
    </row>
    <row r="14" spans="1:7" ht="15.75">
      <c r="A14" s="44" t="s">
        <v>813</v>
      </c>
      <c r="B14" s="98" t="s">
        <v>33</v>
      </c>
      <c r="C14" s="98"/>
      <c r="D14" s="98"/>
      <c r="E14" s="98">
        <f>5000+8000</f>
        <v>13000</v>
      </c>
      <c r="G14" s="44" t="s">
        <v>803</v>
      </c>
    </row>
    <row r="15" spans="1:7" ht="15.75">
      <c r="A15" s="44" t="s">
        <v>813</v>
      </c>
      <c r="B15" s="98" t="s">
        <v>33</v>
      </c>
      <c r="C15" s="98"/>
      <c r="D15" s="98"/>
      <c r="E15" s="98">
        <v>44000</v>
      </c>
      <c r="G15" s="44" t="s">
        <v>805</v>
      </c>
    </row>
    <row r="16" spans="1:7" ht="15.75">
      <c r="A16" s="44" t="s">
        <v>817</v>
      </c>
      <c r="B16" s="98" t="s">
        <v>790</v>
      </c>
      <c r="C16" s="98"/>
      <c r="D16" s="98"/>
      <c r="E16" s="98">
        <v>10000</v>
      </c>
      <c r="G16" s="44" t="s">
        <v>792</v>
      </c>
    </row>
    <row r="17" spans="1:7" ht="15.75">
      <c r="A17" s="44" t="s">
        <v>815</v>
      </c>
      <c r="B17" s="98" t="s">
        <v>791</v>
      </c>
      <c r="C17" s="98"/>
      <c r="D17" s="98"/>
      <c r="E17" s="98">
        <v>15000</v>
      </c>
      <c r="G17" s="44" t="s">
        <v>792</v>
      </c>
    </row>
    <row r="18" spans="1:7" ht="15.75">
      <c r="A18" s="44" t="s">
        <v>815</v>
      </c>
      <c r="B18" s="98" t="s">
        <v>791</v>
      </c>
      <c r="C18" s="98"/>
      <c r="D18" s="98"/>
      <c r="E18" s="98">
        <f>33750+39000</f>
        <v>72750</v>
      </c>
      <c r="G18" s="44" t="s">
        <v>796</v>
      </c>
    </row>
    <row r="19" spans="1:7" ht="15.75">
      <c r="A19" s="44" t="s">
        <v>816</v>
      </c>
      <c r="B19" s="98" t="s">
        <v>799</v>
      </c>
      <c r="C19" s="98"/>
      <c r="D19" s="98"/>
      <c r="E19" s="98">
        <v>7000</v>
      </c>
      <c r="G19" s="44" t="s">
        <v>800</v>
      </c>
    </row>
    <row r="20" spans="1:7" ht="15.75">
      <c r="A20" s="44" t="s">
        <v>818</v>
      </c>
      <c r="B20" s="98" t="s">
        <v>804</v>
      </c>
      <c r="C20" s="98"/>
      <c r="D20" s="98"/>
      <c r="E20" s="98">
        <v>8535.35</v>
      </c>
      <c r="G20" s="44" t="s">
        <v>809</v>
      </c>
    </row>
    <row r="21" spans="1:11" ht="15.75">
      <c r="A21" s="44" t="s">
        <v>819</v>
      </c>
      <c r="B21" s="98" t="s">
        <v>808</v>
      </c>
      <c r="C21" s="98"/>
      <c r="D21" s="98"/>
      <c r="E21" s="98">
        <v>17460</v>
      </c>
      <c r="K21" s="684"/>
    </row>
    <row r="22" spans="1:7" ht="15.75">
      <c r="A22" s="44" t="s">
        <v>814</v>
      </c>
      <c r="B22" s="98" t="s">
        <v>788</v>
      </c>
      <c r="C22" s="98"/>
      <c r="D22" s="98"/>
      <c r="E22" s="98">
        <v>263000</v>
      </c>
      <c r="G22" s="44" t="s">
        <v>789</v>
      </c>
    </row>
    <row r="23" spans="2:5" s="43" customFormat="1" ht="15.75">
      <c r="B23" s="43" t="s">
        <v>771</v>
      </c>
      <c r="E23" s="686">
        <f>SUM(E13:E22)</f>
        <v>499117.35</v>
      </c>
    </row>
    <row r="25" ht="15.75">
      <c r="B25" s="45" t="s">
        <v>772</v>
      </c>
    </row>
    <row r="26" spans="1:7" ht="15.75">
      <c r="A26" s="92" t="s">
        <v>820</v>
      </c>
      <c r="B26" s="44" t="s">
        <v>779</v>
      </c>
      <c r="E26" s="98">
        <v>9820</v>
      </c>
      <c r="G26" s="44" t="s">
        <v>812</v>
      </c>
    </row>
    <row r="27" spans="1:7" ht="15.75">
      <c r="A27" s="92" t="s">
        <v>821</v>
      </c>
      <c r="B27" s="44" t="s">
        <v>489</v>
      </c>
      <c r="E27" s="98">
        <v>22000</v>
      </c>
      <c r="G27" s="44" t="s">
        <v>812</v>
      </c>
    </row>
    <row r="28" spans="1:7" ht="15.75">
      <c r="A28" s="92" t="s">
        <v>822</v>
      </c>
      <c r="B28" s="44" t="s">
        <v>780</v>
      </c>
      <c r="E28" s="44">
        <v>16552</v>
      </c>
      <c r="G28" s="44" t="s">
        <v>812</v>
      </c>
    </row>
    <row r="29" spans="1:7" ht="15.75">
      <c r="A29" s="92" t="s">
        <v>823</v>
      </c>
      <c r="B29" s="44" t="s">
        <v>753</v>
      </c>
      <c r="E29" s="44">
        <v>8535.35</v>
      </c>
      <c r="G29" s="44" t="s">
        <v>804</v>
      </c>
    </row>
    <row r="30" spans="1:7" ht="15.75">
      <c r="A30" s="92" t="s">
        <v>823</v>
      </c>
      <c r="B30" s="44" t="s">
        <v>753</v>
      </c>
      <c r="E30" s="44">
        <v>9444</v>
      </c>
      <c r="G30" s="44" t="s">
        <v>808</v>
      </c>
    </row>
    <row r="31" spans="1:7" ht="15.75">
      <c r="A31" s="92" t="s">
        <v>823</v>
      </c>
      <c r="B31" s="44" t="s">
        <v>770</v>
      </c>
      <c r="E31" s="44">
        <v>8000</v>
      </c>
      <c r="G31" s="44" t="s">
        <v>811</v>
      </c>
    </row>
    <row r="32" spans="1:7" ht="15.75">
      <c r="A32" s="92" t="s">
        <v>823</v>
      </c>
      <c r="B32" s="44" t="s">
        <v>750</v>
      </c>
      <c r="E32" s="644">
        <v>5000</v>
      </c>
      <c r="G32" s="44" t="s">
        <v>811</v>
      </c>
    </row>
    <row r="33" spans="1:7" ht="15.75">
      <c r="A33" s="92" t="s">
        <v>823</v>
      </c>
      <c r="B33" s="44" t="s">
        <v>750</v>
      </c>
      <c r="E33" s="644">
        <v>8016</v>
      </c>
      <c r="G33" s="44" t="s">
        <v>808</v>
      </c>
    </row>
    <row r="34" spans="1:7" ht="15.75">
      <c r="A34" s="92" t="s">
        <v>824</v>
      </c>
      <c r="B34" s="44" t="s">
        <v>70</v>
      </c>
      <c r="D34" s="644"/>
      <c r="E34" s="644">
        <v>263000</v>
      </c>
      <c r="G34" s="44" t="s">
        <v>810</v>
      </c>
    </row>
    <row r="35" spans="1:7" ht="15.75">
      <c r="A35" s="92" t="s">
        <v>795</v>
      </c>
      <c r="B35" s="44" t="s">
        <v>793</v>
      </c>
      <c r="D35" s="644"/>
      <c r="E35" s="644">
        <v>25000</v>
      </c>
      <c r="G35" s="44" t="s">
        <v>794</v>
      </c>
    </row>
    <row r="36" spans="1:7" ht="15.75">
      <c r="A36" s="44">
        <v>10121</v>
      </c>
      <c r="B36" s="44" t="s">
        <v>797</v>
      </c>
      <c r="D36" s="644"/>
      <c r="E36" s="644">
        <f>E18</f>
        <v>72750</v>
      </c>
      <c r="G36" s="44" t="s">
        <v>798</v>
      </c>
    </row>
    <row r="37" spans="1:7" ht="15.75">
      <c r="A37" s="92" t="s">
        <v>825</v>
      </c>
      <c r="B37" s="44" t="s">
        <v>801</v>
      </c>
      <c r="D37" s="644"/>
      <c r="E37" s="644">
        <v>7000</v>
      </c>
      <c r="G37" s="44" t="s">
        <v>802</v>
      </c>
    </row>
    <row r="38" spans="1:7" ht="15.75">
      <c r="A38" s="92" t="s">
        <v>826</v>
      </c>
      <c r="B38" s="44" t="s">
        <v>806</v>
      </c>
      <c r="D38" s="644"/>
      <c r="E38" s="644">
        <v>44000</v>
      </c>
      <c r="G38" s="44" t="s">
        <v>807</v>
      </c>
    </row>
    <row r="39" spans="2:5" s="43" customFormat="1" ht="15.75">
      <c r="B39" s="43" t="s">
        <v>771</v>
      </c>
      <c r="E39" s="686">
        <f>SUM(E26:E38)</f>
        <v>499117.35</v>
      </c>
    </row>
    <row r="40" ht="15.75">
      <c r="E40" s="683">
        <f>E23-E39</f>
        <v>0</v>
      </c>
    </row>
    <row r="42" ht="15.75">
      <c r="B42" s="44" t="s">
        <v>773</v>
      </c>
    </row>
    <row r="45" spans="2:7" ht="15.75">
      <c r="B45" s="44" t="s">
        <v>774</v>
      </c>
      <c r="G45" s="44" t="s">
        <v>776</v>
      </c>
    </row>
    <row r="46" spans="2:7" ht="15.75">
      <c r="B46" s="44" t="s">
        <v>775</v>
      </c>
      <c r="G46" s="44" t="s">
        <v>777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9"/>
  <sheetViews>
    <sheetView workbookViewId="0" topLeftCell="A1">
      <selection activeCell="A1" sqref="A1:IV16384"/>
    </sheetView>
  </sheetViews>
  <sheetFormatPr defaultColWidth="9.140625" defaultRowHeight="12.75"/>
  <cols>
    <col min="1" max="1" width="8.00390625" style="519" customWidth="1"/>
    <col min="2" max="2" width="4.8515625" style="519" customWidth="1"/>
    <col min="3" max="4" width="4.421875" style="519" customWidth="1"/>
    <col min="5" max="5" width="18.421875" style="519" customWidth="1"/>
    <col min="6" max="6" width="10.421875" style="519" customWidth="1"/>
    <col min="7" max="7" width="7.00390625" style="519" customWidth="1"/>
    <col min="8" max="8" width="8.7109375" style="519" customWidth="1"/>
    <col min="9" max="9" width="12.00390625" style="519" hidden="1" customWidth="1"/>
    <col min="10" max="10" width="7.8515625" style="519" customWidth="1"/>
    <col min="11" max="11" width="7.7109375" style="519" customWidth="1"/>
    <col min="12" max="12" width="5.8515625" style="522" bestFit="1" customWidth="1"/>
    <col min="13" max="16384" width="9.140625" style="519" customWidth="1"/>
  </cols>
  <sheetData>
    <row r="1" spans="1:11" ht="18.75">
      <c r="A1" s="465" t="s">
        <v>494</v>
      </c>
      <c r="G1" s="520">
        <v>2003</v>
      </c>
      <c r="H1" s="521"/>
      <c r="J1" s="520">
        <v>2004</v>
      </c>
      <c r="K1" s="521" t="s">
        <v>436</v>
      </c>
    </row>
    <row r="2" ht="3.75" customHeight="1"/>
    <row r="3" spans="2:11" ht="12" customHeight="1" thickBot="1">
      <c r="B3" s="523" t="s">
        <v>442</v>
      </c>
      <c r="F3" s="524" t="s">
        <v>443</v>
      </c>
      <c r="H3" s="519" t="s">
        <v>576</v>
      </c>
      <c r="K3" s="524" t="s">
        <v>376</v>
      </c>
    </row>
    <row r="4" spans="1:12" ht="13.5" thickBot="1">
      <c r="A4" s="525" t="s">
        <v>651</v>
      </c>
      <c r="B4" s="491" t="s">
        <v>743</v>
      </c>
      <c r="C4" s="526"/>
      <c r="D4" s="527"/>
      <c r="E4" s="526"/>
      <c r="F4" s="526"/>
      <c r="G4" s="528">
        <f>G5+G14+G24+G28+G32+G34+G49+G67</f>
        <v>9431.419</v>
      </c>
      <c r="H4" s="528">
        <f>H5+H14+H24+H28+H32+H34+H49+H67</f>
        <v>3785.8859999999995</v>
      </c>
      <c r="I4" s="528">
        <f>I5+I14+I24+I28+I32+I34+I49+I67</f>
        <v>0</v>
      </c>
      <c r="J4" s="528">
        <f>J5+J14+J24+J28+J32+J34+J49+J67</f>
        <v>10561.55031</v>
      </c>
      <c r="K4" s="528">
        <f>K5+K14+K24+K28+K32+K34+K49+K67</f>
        <v>4283.227350000001</v>
      </c>
      <c r="L4" s="529">
        <f>J4/G4</f>
        <v>1.1198262223319737</v>
      </c>
    </row>
    <row r="5" spans="1:12" s="535" customFormat="1" ht="12" thickBot="1">
      <c r="A5" s="525" t="s">
        <v>650</v>
      </c>
      <c r="B5" s="526" t="s">
        <v>96</v>
      </c>
      <c r="C5" s="526"/>
      <c r="D5" s="530"/>
      <c r="E5" s="530"/>
      <c r="F5" s="531"/>
      <c r="G5" s="532">
        <f>SUM(G6:G13)</f>
        <v>2097.6899999999996</v>
      </c>
      <c r="H5" s="533">
        <f>SUM(H6:H13)</f>
        <v>792.4000000000001</v>
      </c>
      <c r="I5" s="533">
        <f>SUM(I6:I13)</f>
        <v>0</v>
      </c>
      <c r="J5" s="533">
        <f>SUM(J6:J13)</f>
        <v>2159.2547250000002</v>
      </c>
      <c r="K5" s="533">
        <f>SUM(K6:K13)</f>
        <v>875.272725</v>
      </c>
      <c r="L5" s="534">
        <f>J5/G5</f>
        <v>1.0293488194156433</v>
      </c>
    </row>
    <row r="6" spans="1:12" ht="11.25">
      <c r="A6" s="496" t="s">
        <v>656</v>
      </c>
      <c r="B6" s="497" t="s">
        <v>66</v>
      </c>
      <c r="C6" s="497"/>
      <c r="D6" s="536"/>
      <c r="E6" s="536"/>
      <c r="F6" s="536"/>
      <c r="G6" s="537">
        <v>53</v>
      </c>
      <c r="H6" s="538">
        <v>32</v>
      </c>
      <c r="I6" s="539"/>
      <c r="J6" s="537">
        <f>Ü!F4/1000</f>
        <v>53.74</v>
      </c>
      <c r="K6" s="538">
        <f>Ü!F5/1000</f>
        <v>32.04</v>
      </c>
      <c r="L6" s="540"/>
    </row>
    <row r="7" spans="1:12" ht="11.25">
      <c r="A7" s="496" t="s">
        <v>657</v>
      </c>
      <c r="B7" s="497" t="s">
        <v>67</v>
      </c>
      <c r="C7" s="497"/>
      <c r="D7" s="536"/>
      <c r="E7" s="536"/>
      <c r="F7" s="536"/>
      <c r="G7" s="541">
        <f>615-12-17.6+17.6</f>
        <v>603</v>
      </c>
      <c r="H7" s="542">
        <v>429.8</v>
      </c>
      <c r="I7" s="543"/>
      <c r="J7" s="541">
        <f>Ü!E4/1000</f>
        <v>692.952025</v>
      </c>
      <c r="K7" s="542">
        <f>Ü!E5/1000</f>
        <v>479.552025</v>
      </c>
      <c r="L7" s="540"/>
    </row>
    <row r="8" spans="1:12" ht="11.25">
      <c r="A8" s="496" t="s">
        <v>660</v>
      </c>
      <c r="B8" s="497" t="s">
        <v>439</v>
      </c>
      <c r="C8" s="497"/>
      <c r="D8" s="536"/>
      <c r="E8" s="536"/>
      <c r="F8" s="536"/>
      <c r="G8" s="541">
        <f>121-32.5-7</f>
        <v>81.5</v>
      </c>
      <c r="H8" s="542">
        <f>48-7</f>
        <v>41</v>
      </c>
      <c r="I8" s="543"/>
      <c r="J8" s="541">
        <f>Ü!I4/1000</f>
        <v>109.3052</v>
      </c>
      <c r="K8" s="542">
        <f>Ü!I5/1000</f>
        <v>36.2052</v>
      </c>
      <c r="L8" s="540"/>
    </row>
    <row r="9" spans="1:12" ht="11.25">
      <c r="A9" s="496" t="s">
        <v>660</v>
      </c>
      <c r="B9" s="497" t="s">
        <v>65</v>
      </c>
      <c r="C9" s="497"/>
      <c r="D9" s="536"/>
      <c r="E9" s="536"/>
      <c r="F9" s="536"/>
      <c r="G9" s="541">
        <f>97.24-0.899</f>
        <v>96.341</v>
      </c>
      <c r="H9" s="544"/>
      <c r="I9" s="545"/>
      <c r="J9" s="541">
        <f>Ü!K4/1000</f>
        <v>100</v>
      </c>
      <c r="K9" s="544"/>
      <c r="L9" s="540"/>
    </row>
    <row r="10" spans="1:12" ht="11.25">
      <c r="A10" s="496" t="s">
        <v>660</v>
      </c>
      <c r="B10" s="497" t="s">
        <v>438</v>
      </c>
      <c r="C10" s="497"/>
      <c r="D10" s="536"/>
      <c r="E10" s="536"/>
      <c r="F10" s="536"/>
      <c r="G10" s="541">
        <v>318</v>
      </c>
      <c r="H10" s="542">
        <v>289.6</v>
      </c>
      <c r="I10" s="543"/>
      <c r="J10" s="541">
        <f>Ü!H4/1000</f>
        <v>351.1755</v>
      </c>
      <c r="K10" s="542">
        <f>Ü!H5/1000</f>
        <v>327.4755</v>
      </c>
      <c r="L10" s="540"/>
    </row>
    <row r="11" spans="1:12" ht="11.25">
      <c r="A11" s="496" t="s">
        <v>659</v>
      </c>
      <c r="B11" s="497" t="s">
        <v>112</v>
      </c>
      <c r="C11" s="497"/>
      <c r="D11" s="536"/>
      <c r="E11" s="536"/>
      <c r="F11" s="536"/>
      <c r="G11" s="541">
        <f>79.5+34.5</f>
        <v>114</v>
      </c>
      <c r="H11" s="542"/>
      <c r="I11" s="543"/>
      <c r="J11" s="541">
        <f>Ü!J4/1000</f>
        <v>94</v>
      </c>
      <c r="K11" s="542"/>
      <c r="L11" s="540"/>
    </row>
    <row r="12" spans="1:12" ht="11.25">
      <c r="A12" s="546" t="s">
        <v>658</v>
      </c>
      <c r="B12" s="497" t="s">
        <v>453</v>
      </c>
      <c r="C12" s="497"/>
      <c r="D12" s="536"/>
      <c r="E12" s="536"/>
      <c r="F12" s="536"/>
      <c r="G12" s="541">
        <f>G76</f>
        <v>129.849</v>
      </c>
      <c r="H12" s="542"/>
      <c r="I12" s="543"/>
      <c r="J12" s="541">
        <f>J76</f>
        <v>67.082</v>
      </c>
      <c r="K12" s="542"/>
      <c r="L12" s="540"/>
    </row>
    <row r="13" spans="1:12" ht="12" thickBot="1">
      <c r="A13" s="547"/>
      <c r="B13" s="548" t="s">
        <v>661</v>
      </c>
      <c r="C13" s="548"/>
      <c r="D13" s="549"/>
      <c r="E13" s="548"/>
      <c r="F13" s="548"/>
      <c r="G13" s="550">
        <v>702</v>
      </c>
      <c r="H13" s="551"/>
      <c r="I13" s="552">
        <f>SUM(I14:I15)</f>
        <v>0</v>
      </c>
      <c r="J13" s="550">
        <v>691</v>
      </c>
      <c r="K13" s="551"/>
      <c r="L13" s="540"/>
    </row>
    <row r="14" spans="1:12" s="535" customFormat="1" ht="12" thickBot="1">
      <c r="A14" s="525" t="s">
        <v>652</v>
      </c>
      <c r="B14" s="526" t="s">
        <v>97</v>
      </c>
      <c r="C14" s="530"/>
      <c r="D14" s="530"/>
      <c r="E14" s="530"/>
      <c r="F14" s="531"/>
      <c r="G14" s="553">
        <f>SUM(G15:G23)</f>
        <v>1184</v>
      </c>
      <c r="H14" s="554">
        <f>SUM(H15:H23)</f>
        <v>714.6</v>
      </c>
      <c r="I14" s="555">
        <f>SUM(I15:I23)</f>
        <v>0</v>
      </c>
      <c r="J14" s="553">
        <f>SUM(J15:J22)</f>
        <v>1156.6040799999998</v>
      </c>
      <c r="K14" s="553">
        <f>SUM(K15:K23)</f>
        <v>566.1040800000001</v>
      </c>
      <c r="L14" s="556">
        <f>J14/G14</f>
        <v>0.976861554054054</v>
      </c>
    </row>
    <row r="15" spans="1:12" ht="11.25">
      <c r="A15" s="496" t="s">
        <v>662</v>
      </c>
      <c r="B15" s="497" t="s">
        <v>258</v>
      </c>
      <c r="C15" s="536"/>
      <c r="D15" s="536"/>
      <c r="E15" s="536"/>
      <c r="F15" s="557"/>
      <c r="G15" s="558">
        <v>313</v>
      </c>
      <c r="H15" s="559">
        <v>231.8</v>
      </c>
      <c r="I15" s="560"/>
      <c r="J15" s="558">
        <f>MAJANDUS!E3/1000</f>
        <v>234.9525</v>
      </c>
      <c r="K15" s="561">
        <f>MAJANDUS!E4/1000</f>
        <v>95.4525</v>
      </c>
      <c r="L15" s="540"/>
    </row>
    <row r="16" spans="1:12" ht="11.25">
      <c r="A16" s="496" t="s">
        <v>663</v>
      </c>
      <c r="B16" s="497" t="s">
        <v>634</v>
      </c>
      <c r="C16" s="536"/>
      <c r="D16" s="536"/>
      <c r="E16" s="536"/>
      <c r="F16" s="557"/>
      <c r="G16" s="561"/>
      <c r="H16" s="559"/>
      <c r="I16" s="560"/>
      <c r="J16" s="561">
        <f>MAJANDUS!F3/1000</f>
        <v>118.4525</v>
      </c>
      <c r="K16" s="561">
        <f>MAJANDUS!F4/1000</f>
        <v>95.4525</v>
      </c>
      <c r="L16" s="540"/>
    </row>
    <row r="17" spans="1:12" ht="11.25">
      <c r="A17" s="496" t="s">
        <v>664</v>
      </c>
      <c r="B17" s="497" t="s">
        <v>267</v>
      </c>
      <c r="C17" s="536"/>
      <c r="D17" s="536"/>
      <c r="E17" s="536"/>
      <c r="F17" s="557"/>
      <c r="G17" s="558">
        <v>479</v>
      </c>
      <c r="H17" s="559">
        <v>359.3</v>
      </c>
      <c r="I17" s="560"/>
      <c r="J17" s="558">
        <f>MAJANDUS!L3/1000</f>
        <v>351.76208</v>
      </c>
      <c r="K17" s="561">
        <f>MAJANDUS!L4/1000</f>
        <v>238.76208000000003</v>
      </c>
      <c r="L17" s="540"/>
    </row>
    <row r="18" spans="1:12" ht="11.25">
      <c r="A18" s="496" t="s">
        <v>667</v>
      </c>
      <c r="B18" s="497" t="s">
        <v>461</v>
      </c>
      <c r="C18" s="536"/>
      <c r="D18" s="536"/>
      <c r="E18" s="536"/>
      <c r="F18" s="557"/>
      <c r="G18" s="558">
        <v>30</v>
      </c>
      <c r="H18" s="559"/>
      <c r="I18" s="560"/>
      <c r="J18" s="558">
        <f>MAJANDUS!K3/1000</f>
        <v>28.35</v>
      </c>
      <c r="K18" s="561">
        <f>MAJANDUS!K4/1000</f>
        <v>13.35</v>
      </c>
      <c r="L18" s="540"/>
    </row>
    <row r="19" spans="1:12" ht="11.25">
      <c r="A19" s="496" t="s">
        <v>667</v>
      </c>
      <c r="B19" s="497" t="s">
        <v>70</v>
      </c>
      <c r="C19" s="536"/>
      <c r="D19" s="536"/>
      <c r="E19" s="536"/>
      <c r="F19" s="557"/>
      <c r="G19" s="558">
        <f>59+150-150</f>
        <v>59</v>
      </c>
      <c r="H19" s="559">
        <v>9</v>
      </c>
      <c r="I19" s="560"/>
      <c r="J19" s="558">
        <f>MAJANDUS!J3/1000</f>
        <v>62.675</v>
      </c>
      <c r="K19" s="561">
        <f>MAJANDUS!J4/1000</f>
        <v>6.675</v>
      </c>
      <c r="L19" s="540"/>
    </row>
    <row r="20" spans="1:12" ht="11.25">
      <c r="A20" s="496" t="s">
        <v>665</v>
      </c>
      <c r="B20" s="497" t="s">
        <v>139</v>
      </c>
      <c r="C20" s="536"/>
      <c r="D20" s="536"/>
      <c r="E20" s="536"/>
      <c r="F20" s="557"/>
      <c r="G20" s="558">
        <v>12</v>
      </c>
      <c r="H20" s="559"/>
      <c r="I20" s="560"/>
      <c r="J20" s="558">
        <f>MAJANDUS!M3/1000</f>
        <v>12</v>
      </c>
      <c r="K20" s="561"/>
      <c r="L20" s="540"/>
    </row>
    <row r="21" spans="1:12" ht="11.25">
      <c r="A21" s="496" t="s">
        <v>668</v>
      </c>
      <c r="B21" s="497" t="s">
        <v>635</v>
      </c>
      <c r="C21" s="536"/>
      <c r="D21" s="536"/>
      <c r="E21" s="536"/>
      <c r="F21" s="557"/>
      <c r="G21" s="561">
        <f>70+80</f>
        <v>150</v>
      </c>
      <c r="H21" s="559"/>
      <c r="I21" s="560"/>
      <c r="J21" s="561">
        <f>MAJANDUS!I3/1000+MAJANDUS!H3/1000</f>
        <v>200</v>
      </c>
      <c r="K21" s="561"/>
      <c r="L21" s="540"/>
    </row>
    <row r="22" spans="1:12" ht="12" thickBot="1">
      <c r="A22" s="496" t="s">
        <v>666</v>
      </c>
      <c r="B22" s="497" t="s">
        <v>143</v>
      </c>
      <c r="C22" s="536"/>
      <c r="D22" s="536"/>
      <c r="E22" s="536"/>
      <c r="F22" s="557"/>
      <c r="G22" s="558">
        <v>141</v>
      </c>
      <c r="H22" s="559">
        <v>114.5</v>
      </c>
      <c r="I22" s="560"/>
      <c r="J22" s="558">
        <f>MAJANDUS!G3/1000</f>
        <v>148.412</v>
      </c>
      <c r="K22" s="561">
        <f>MAJANDUS!G4/1000</f>
        <v>116.412</v>
      </c>
      <c r="L22" s="540"/>
    </row>
    <row r="23" spans="1:12" ht="12" hidden="1" thickBot="1">
      <c r="A23" s="496"/>
      <c r="B23" s="497" t="s">
        <v>268</v>
      </c>
      <c r="C23" s="536"/>
      <c r="D23" s="536"/>
      <c r="E23" s="536"/>
      <c r="F23" s="557"/>
      <c r="G23" s="561"/>
      <c r="H23" s="559"/>
      <c r="I23" s="560"/>
      <c r="J23" s="561"/>
      <c r="K23" s="562"/>
      <c r="L23" s="522" t="e">
        <f>J23/G23</f>
        <v>#DIV/0!</v>
      </c>
    </row>
    <row r="24" spans="1:12" ht="12" thickBot="1">
      <c r="A24" s="525" t="s">
        <v>669</v>
      </c>
      <c r="B24" s="526" t="s">
        <v>71</v>
      </c>
      <c r="C24" s="563"/>
      <c r="D24" s="563"/>
      <c r="E24" s="563"/>
      <c r="F24" s="564"/>
      <c r="G24" s="565">
        <f>SUM(G25:G27)</f>
        <v>151</v>
      </c>
      <c r="H24" s="566">
        <f>SUM(H25:H27)</f>
        <v>21.6</v>
      </c>
      <c r="I24" s="567">
        <f>SUM(I25:I27)</f>
        <v>0</v>
      </c>
      <c r="J24" s="565">
        <f>SUM(J25:J27)</f>
        <v>207.4</v>
      </c>
      <c r="K24" s="565">
        <f>SUM(K25:K27)</f>
        <v>53.4</v>
      </c>
      <c r="L24" s="522">
        <f>J24/G24</f>
        <v>1.3735099337748344</v>
      </c>
    </row>
    <row r="25" spans="1:12" ht="11.25">
      <c r="A25" s="496" t="s">
        <v>670</v>
      </c>
      <c r="B25" s="497" t="s">
        <v>245</v>
      </c>
      <c r="C25" s="536"/>
      <c r="D25" s="536"/>
      <c r="E25" s="536"/>
      <c r="F25" s="557"/>
      <c r="G25" s="558">
        <v>4</v>
      </c>
      <c r="H25" s="559"/>
      <c r="I25" s="560"/>
      <c r="J25" s="558">
        <f>MAJANDUS!O3/1000</f>
        <v>6</v>
      </c>
      <c r="K25" s="561"/>
      <c r="L25" s="540"/>
    </row>
    <row r="26" spans="1:12" ht="11.25">
      <c r="A26" s="496" t="s">
        <v>671</v>
      </c>
      <c r="B26" s="568" t="s">
        <v>247</v>
      </c>
      <c r="C26" s="536"/>
      <c r="D26" s="536"/>
      <c r="E26" s="536"/>
      <c r="F26" s="557"/>
      <c r="G26" s="558">
        <f>47+28-28</f>
        <v>47</v>
      </c>
      <c r="H26" s="559">
        <v>21.6</v>
      </c>
      <c r="I26" s="560"/>
      <c r="J26" s="558">
        <f>MAJANDUS!P3/1000</f>
        <v>101.4</v>
      </c>
      <c r="K26" s="561">
        <f>MAJANDUS!P4/1000</f>
        <v>53.4</v>
      </c>
      <c r="L26" s="540"/>
    </row>
    <row r="27" spans="1:12" ht="12" thickBot="1">
      <c r="A27" s="569" t="s">
        <v>672</v>
      </c>
      <c r="B27" s="570" t="s">
        <v>419</v>
      </c>
      <c r="C27" s="571"/>
      <c r="D27" s="571"/>
      <c r="E27" s="571"/>
      <c r="F27" s="572"/>
      <c r="G27" s="573">
        <v>100</v>
      </c>
      <c r="H27" s="574"/>
      <c r="I27" s="575"/>
      <c r="J27" s="573">
        <f>MAJANDUS!Q3/1000</f>
        <v>100</v>
      </c>
      <c r="K27" s="576"/>
      <c r="L27" s="540"/>
    </row>
    <row r="28" spans="1:12" ht="12" thickBot="1">
      <c r="A28" s="525" t="s">
        <v>673</v>
      </c>
      <c r="B28" s="526" t="s">
        <v>72</v>
      </c>
      <c r="C28" s="563"/>
      <c r="D28" s="563"/>
      <c r="E28" s="563"/>
      <c r="F28" s="564"/>
      <c r="G28" s="565">
        <f>SUM(G29:G31)</f>
        <v>277.6</v>
      </c>
      <c r="H28" s="566">
        <f>SUM(H29:H31)</f>
        <v>151.3</v>
      </c>
      <c r="I28" s="567">
        <f>SUM(I29:I31)</f>
        <v>0</v>
      </c>
      <c r="J28" s="565">
        <f>SUM(J29:J31)</f>
        <v>284.61294</v>
      </c>
      <c r="K28" s="565">
        <f>SUM(K29:K31)</f>
        <v>155.61293999999998</v>
      </c>
      <c r="L28" s="522">
        <f>J28/G28</f>
        <v>1.025262752161383</v>
      </c>
    </row>
    <row r="29" spans="1:12" ht="11.25">
      <c r="A29" s="496" t="s">
        <v>674</v>
      </c>
      <c r="B29" s="497" t="s">
        <v>148</v>
      </c>
      <c r="C29" s="536"/>
      <c r="D29" s="536"/>
      <c r="E29" s="536"/>
      <c r="F29" s="557"/>
      <c r="G29" s="558">
        <f>207-33+33-15.4</f>
        <v>191.6</v>
      </c>
      <c r="H29" s="559">
        <v>97.8</v>
      </c>
      <c r="I29" s="560"/>
      <c r="J29" s="558">
        <f>MAJANDUS!S3/1000</f>
        <v>199.87333999999998</v>
      </c>
      <c r="K29" s="561">
        <f>MAJANDUS!S4/1000</f>
        <v>107.87334</v>
      </c>
      <c r="L29" s="540"/>
    </row>
    <row r="30" spans="1:12" ht="11.25">
      <c r="A30" s="496" t="s">
        <v>675</v>
      </c>
      <c r="B30" s="497" t="s">
        <v>150</v>
      </c>
      <c r="C30" s="536"/>
      <c r="D30" s="536"/>
      <c r="E30" s="536"/>
      <c r="F30" s="557"/>
      <c r="G30" s="558">
        <v>19</v>
      </c>
      <c r="H30" s="559"/>
      <c r="I30" s="560"/>
      <c r="J30" s="558">
        <f>MAJANDUS!T3/1000</f>
        <v>27</v>
      </c>
      <c r="K30" s="561"/>
      <c r="L30" s="540"/>
    </row>
    <row r="31" spans="1:12" ht="12" thickBot="1">
      <c r="A31" s="496" t="s">
        <v>676</v>
      </c>
      <c r="B31" s="497" t="s">
        <v>248</v>
      </c>
      <c r="C31" s="536"/>
      <c r="D31" s="536"/>
      <c r="E31" s="536"/>
      <c r="F31" s="557"/>
      <c r="G31" s="558">
        <v>67</v>
      </c>
      <c r="H31" s="559">
        <v>53.5</v>
      </c>
      <c r="I31" s="560"/>
      <c r="J31" s="558">
        <f>MAJANDUS!U3/1000</f>
        <v>57.739599999999996</v>
      </c>
      <c r="K31" s="561">
        <f>MAJANDUS!U4/1000</f>
        <v>47.739599999999996</v>
      </c>
      <c r="L31" s="540"/>
    </row>
    <row r="32" spans="1:12" ht="12" thickBot="1">
      <c r="A32" s="525" t="s">
        <v>677</v>
      </c>
      <c r="B32" s="526" t="s">
        <v>73</v>
      </c>
      <c r="C32" s="563"/>
      <c r="D32" s="563"/>
      <c r="E32" s="563"/>
      <c r="F32" s="564"/>
      <c r="G32" s="577">
        <f>SUM(G33:G33)</f>
        <v>26</v>
      </c>
      <c r="H32" s="566">
        <f>SUM(H33:H33)</f>
        <v>0</v>
      </c>
      <c r="I32" s="567">
        <f>SUM(I33:I33)</f>
        <v>0</v>
      </c>
      <c r="J32" s="577">
        <f>SUM(J33:J33)</f>
        <v>26</v>
      </c>
      <c r="K32" s="565">
        <f>SUM(K33:K33)</f>
        <v>0</v>
      </c>
      <c r="L32" s="522">
        <f>J32/G32</f>
        <v>1</v>
      </c>
    </row>
    <row r="33" spans="1:12" ht="12" thickBot="1">
      <c r="A33" s="496" t="s">
        <v>678</v>
      </c>
      <c r="B33" s="497" t="s">
        <v>373</v>
      </c>
      <c r="C33" s="536"/>
      <c r="D33" s="536"/>
      <c r="E33" s="536"/>
      <c r="F33" s="557"/>
      <c r="G33" s="561">
        <v>26</v>
      </c>
      <c r="H33" s="559"/>
      <c r="I33" s="560"/>
      <c r="J33" s="561">
        <f>Sots!J3/1000</f>
        <v>26</v>
      </c>
      <c r="K33" s="562"/>
      <c r="L33" s="540"/>
    </row>
    <row r="34" spans="1:12" ht="12" thickBot="1">
      <c r="A34" s="525" t="s">
        <v>679</v>
      </c>
      <c r="B34" s="526" t="s">
        <v>680</v>
      </c>
      <c r="C34" s="563"/>
      <c r="D34" s="563"/>
      <c r="E34" s="563"/>
      <c r="F34" s="564"/>
      <c r="G34" s="565">
        <f>SUM(G35:G48)-G40</f>
        <v>632.53</v>
      </c>
      <c r="H34" s="566">
        <f>SUM(H35:H48)-H40</f>
        <v>244.3</v>
      </c>
      <c r="I34" s="567">
        <f>SUM(I35:I48)-I40</f>
        <v>0</v>
      </c>
      <c r="J34" s="566">
        <f>SUM(J35:J48)-J40</f>
        <v>813.4837700000002</v>
      </c>
      <c r="K34" s="566">
        <f>SUM(K35:K48)-K40</f>
        <v>388.41881000000006</v>
      </c>
      <c r="L34" s="522">
        <f>J34/G34</f>
        <v>1.2860793480151143</v>
      </c>
    </row>
    <row r="35" spans="1:12" ht="11.25" hidden="1">
      <c r="A35" s="496" t="s">
        <v>166</v>
      </c>
      <c r="B35" s="497" t="s">
        <v>167</v>
      </c>
      <c r="C35" s="536"/>
      <c r="D35" s="536"/>
      <c r="E35" s="536"/>
      <c r="F35" s="557"/>
      <c r="G35" s="561"/>
      <c r="H35" s="559"/>
      <c r="I35" s="560"/>
      <c r="J35" s="559"/>
      <c r="K35" s="559"/>
      <c r="L35" s="522" t="e">
        <f>J35/G35</f>
        <v>#DIV/0!</v>
      </c>
    </row>
    <row r="36" spans="1:11" ht="11.25">
      <c r="A36" s="496" t="s">
        <v>682</v>
      </c>
      <c r="B36" s="497" t="s">
        <v>681</v>
      </c>
      <c r="C36" s="536"/>
      <c r="D36" s="536"/>
      <c r="E36" s="536"/>
      <c r="F36" s="557"/>
      <c r="G36" s="558">
        <f>374+500-500-374</f>
        <v>0</v>
      </c>
      <c r="H36" s="559">
        <f>134.2-134.2</f>
        <v>0</v>
      </c>
      <c r="I36" s="560"/>
      <c r="J36" s="578">
        <f>'KULT,SP'!K2/1000-315.5</f>
        <v>-0.04750000000001364</v>
      </c>
      <c r="K36" s="559">
        <f>'KULT,SP'!K3/1000-95.5</f>
        <v>-0.04749999999999943</v>
      </c>
    </row>
    <row r="37" spans="1:11" ht="11.25">
      <c r="A37" s="496" t="s">
        <v>683</v>
      </c>
      <c r="B37" s="497" t="s">
        <v>76</v>
      </c>
      <c r="C37" s="536"/>
      <c r="D37" s="536"/>
      <c r="E37" s="536"/>
      <c r="F37" s="557">
        <f>10+3</f>
        <v>13</v>
      </c>
      <c r="G37" s="558">
        <f>(TOV!E6+TOV!E12)/1000</f>
        <v>109.53</v>
      </c>
      <c r="H37" s="579"/>
      <c r="I37" s="580"/>
      <c r="J37" s="578">
        <f>'KULT,SP'!G2/1000</f>
        <v>136.89</v>
      </c>
      <c r="K37" s="579"/>
    </row>
    <row r="38" spans="1:11" ht="11.25" hidden="1">
      <c r="A38" s="496" t="s">
        <v>173</v>
      </c>
      <c r="B38" s="497" t="s">
        <v>174</v>
      </c>
      <c r="C38" s="536"/>
      <c r="D38" s="536"/>
      <c r="E38" s="536"/>
      <c r="F38" s="557"/>
      <c r="G38" s="561"/>
      <c r="H38" s="559"/>
      <c r="I38" s="560"/>
      <c r="J38" s="559"/>
      <c r="K38" s="559"/>
    </row>
    <row r="39" spans="1:11" ht="11.25">
      <c r="A39" s="496" t="s">
        <v>684</v>
      </c>
      <c r="B39" s="497" t="s">
        <v>178</v>
      </c>
      <c r="C39" s="536"/>
      <c r="D39" s="536"/>
      <c r="E39" s="536"/>
      <c r="F39" s="557"/>
      <c r="G39" s="558">
        <v>10</v>
      </c>
      <c r="H39" s="559">
        <v>10</v>
      </c>
      <c r="I39" s="560"/>
      <c r="J39" s="578">
        <f>'KULT,SP'!M52/1000</f>
        <v>25</v>
      </c>
      <c r="K39" s="559"/>
    </row>
    <row r="40" spans="1:11" ht="11.25">
      <c r="A40" s="496" t="s">
        <v>685</v>
      </c>
      <c r="B40" s="497" t="s">
        <v>420</v>
      </c>
      <c r="C40" s="536"/>
      <c r="D40" s="536"/>
      <c r="E40" s="536"/>
      <c r="F40" s="557"/>
      <c r="G40" s="561">
        <f>SUM(G41:G43)</f>
        <v>351</v>
      </c>
      <c r="H40" s="559">
        <f>SUM(H41:H43)</f>
        <v>178.2</v>
      </c>
      <c r="I40" s="559">
        <f>SUM(I41:I43)</f>
        <v>0</v>
      </c>
      <c r="J40" s="559">
        <f>SUM(J41:J43)</f>
        <v>392.32516</v>
      </c>
      <c r="K40" s="559">
        <f>SUM(K41:K43)</f>
        <v>264.72516</v>
      </c>
    </row>
    <row r="41" spans="1:11" ht="11.25">
      <c r="A41" s="496"/>
      <c r="B41" s="497" t="s">
        <v>421</v>
      </c>
      <c r="C41" s="536"/>
      <c r="D41" s="536"/>
      <c r="E41" s="536"/>
      <c r="F41" s="557"/>
      <c r="G41" s="561">
        <v>101</v>
      </c>
      <c r="H41" s="559">
        <v>59.4</v>
      </c>
      <c r="I41" s="560"/>
      <c r="J41" s="559">
        <f>'KULT,SP'!H2/1000</f>
        <v>114.35942</v>
      </c>
      <c r="K41" s="559">
        <f>'KULT,SP'!H3/1000</f>
        <v>72.15942</v>
      </c>
    </row>
    <row r="42" spans="1:11" ht="10.5" customHeight="1">
      <c r="A42" s="496"/>
      <c r="B42" s="497" t="s">
        <v>422</v>
      </c>
      <c r="C42" s="536"/>
      <c r="D42" s="536"/>
      <c r="E42" s="536"/>
      <c r="F42" s="557"/>
      <c r="G42" s="561">
        <f>97+38</f>
        <v>135</v>
      </c>
      <c r="H42" s="559">
        <v>59.4</v>
      </c>
      <c r="I42" s="560"/>
      <c r="J42" s="559">
        <f>'KULT,SP'!J2/1000</f>
        <v>156.20632</v>
      </c>
      <c r="K42" s="559">
        <f>'KULT,SP'!J3/1000</f>
        <v>120.40632000000001</v>
      </c>
    </row>
    <row r="43" spans="1:11" ht="11.25">
      <c r="A43" s="496"/>
      <c r="B43" s="497" t="s">
        <v>423</v>
      </c>
      <c r="C43" s="536"/>
      <c r="D43" s="536"/>
      <c r="E43" s="536"/>
      <c r="F43" s="557"/>
      <c r="G43" s="561">
        <v>115</v>
      </c>
      <c r="H43" s="559">
        <v>59.4</v>
      </c>
      <c r="I43" s="560"/>
      <c r="J43" s="559">
        <f>'KULT,SP'!I2/1000</f>
        <v>121.75941999999999</v>
      </c>
      <c r="K43" s="559">
        <f>'KULT,SP'!I3/1000</f>
        <v>72.15942</v>
      </c>
    </row>
    <row r="44" spans="1:11" ht="11.25">
      <c r="A44" s="496" t="s">
        <v>686</v>
      </c>
      <c r="B44" s="497" t="s">
        <v>624</v>
      </c>
      <c r="C44" s="536"/>
      <c r="D44" s="536"/>
      <c r="E44" s="536"/>
      <c r="F44" s="557"/>
      <c r="G44" s="561">
        <f>124-G46-G48+6.6+24.586-24.586-6.6</f>
        <v>41.96</v>
      </c>
      <c r="H44" s="559">
        <f>48.1-H48+8+24.586-24.586</f>
        <v>24.060000000000002</v>
      </c>
      <c r="I44" s="560"/>
      <c r="J44" s="559">
        <f>'KULT,SP'!E2/1000</f>
        <v>111.91414999999999</v>
      </c>
      <c r="K44" s="559">
        <f>'KULT,SP'!E3/1000</f>
        <v>89.03115</v>
      </c>
    </row>
    <row r="45" spans="1:11" ht="12" customHeight="1">
      <c r="A45" s="496" t="s">
        <v>687</v>
      </c>
      <c r="B45" s="497" t="s">
        <v>180</v>
      </c>
      <c r="C45" s="536"/>
      <c r="D45" s="536"/>
      <c r="E45" s="536"/>
      <c r="F45" s="557"/>
      <c r="G45" s="561">
        <v>3</v>
      </c>
      <c r="H45" s="559"/>
      <c r="I45" s="560"/>
      <c r="J45" s="559">
        <f>'KULT,SP'!L28/1000</f>
        <v>2.5</v>
      </c>
      <c r="K45" s="559"/>
    </row>
    <row r="46" spans="1:11" ht="11.25">
      <c r="A46" s="496" t="s">
        <v>688</v>
      </c>
      <c r="B46" s="497" t="s">
        <v>271</v>
      </c>
      <c r="C46" s="536"/>
      <c r="D46" s="536"/>
      <c r="E46" s="536"/>
      <c r="F46" s="557"/>
      <c r="G46" s="561">
        <f>30+20</f>
        <v>50</v>
      </c>
      <c r="H46" s="559"/>
      <c r="I46" s="560"/>
      <c r="J46" s="559">
        <f>('KULT,SP'!M2-'KULT,SP'!M52)/1000</f>
        <v>70</v>
      </c>
      <c r="K46" s="559"/>
    </row>
    <row r="47" spans="1:11" ht="11.25">
      <c r="A47" s="496" t="s">
        <v>689</v>
      </c>
      <c r="B47" s="497" t="s">
        <v>196</v>
      </c>
      <c r="C47" s="536"/>
      <c r="D47" s="536"/>
      <c r="E47" s="536"/>
      <c r="F47" s="557"/>
      <c r="G47" s="561">
        <v>35</v>
      </c>
      <c r="H47" s="559"/>
      <c r="I47" s="560"/>
      <c r="J47" s="559">
        <f>('KULT,SP'!L2-'KULT,SP'!L28)/1000</f>
        <v>36.19196</v>
      </c>
      <c r="K47" s="559"/>
    </row>
    <row r="48" spans="1:11" ht="12" thickBot="1">
      <c r="A48" s="496" t="s">
        <v>690</v>
      </c>
      <c r="B48" s="497" t="s">
        <v>272</v>
      </c>
      <c r="C48" s="536"/>
      <c r="D48" s="536"/>
      <c r="E48" s="536"/>
      <c r="F48" s="557"/>
      <c r="G48" s="561">
        <f>(2*12*1.335)+6.6-6.6</f>
        <v>32.04</v>
      </c>
      <c r="H48" s="559">
        <f>32.04+6.6-6.6</f>
        <v>32.04</v>
      </c>
      <c r="I48" s="560"/>
      <c r="J48" s="559">
        <f>'KULT,SP'!F2/1000</f>
        <v>38.71</v>
      </c>
      <c r="K48" s="559">
        <f>'KULT,SP'!F3/1000</f>
        <v>34.71</v>
      </c>
    </row>
    <row r="49" spans="1:12" s="535" customFormat="1" ht="12" thickBot="1">
      <c r="A49" s="525" t="s">
        <v>691</v>
      </c>
      <c r="B49" s="526" t="s">
        <v>98</v>
      </c>
      <c r="C49" s="530"/>
      <c r="D49" s="530"/>
      <c r="E49" s="530"/>
      <c r="F49" s="531"/>
      <c r="G49" s="581">
        <f>SUM(G50:G66)-G50-G56</f>
        <v>4408.6990000000005</v>
      </c>
      <c r="H49" s="582">
        <f>SUM(H50:H66)-H50-H56</f>
        <v>1487.6999999999996</v>
      </c>
      <c r="I49" s="583">
        <f>SUM(I50:I66)-I50-I56</f>
        <v>0</v>
      </c>
      <c r="J49" s="581">
        <f>SUM(J50:J66)-J50-J56</f>
        <v>4560.901394999999</v>
      </c>
      <c r="K49" s="582">
        <f>SUM(K50:K66)-K50-K56</f>
        <v>1803.2813950000002</v>
      </c>
      <c r="L49" s="529">
        <f>J49/G49</f>
        <v>1.0345231994744932</v>
      </c>
    </row>
    <row r="50" spans="1:11" ht="11.25">
      <c r="A50" s="496" t="s">
        <v>692</v>
      </c>
      <c r="B50" s="497" t="s">
        <v>424</v>
      </c>
      <c r="C50" s="536"/>
      <c r="D50" s="536"/>
      <c r="E50" s="536"/>
      <c r="F50" s="557"/>
      <c r="G50" s="561">
        <f>SUM(G52:G55)</f>
        <v>1129.6390000000001</v>
      </c>
      <c r="H50" s="559">
        <f>SUM(H52:H55)</f>
        <v>558.9</v>
      </c>
      <c r="I50" s="559">
        <f>SUM(I52:I55)</f>
        <v>0</v>
      </c>
      <c r="J50" s="559">
        <f>SUM(J52:J55)</f>
        <v>997.0999000000002</v>
      </c>
      <c r="K50" s="559">
        <f>SUM(K52:K55)</f>
        <v>666.8859</v>
      </c>
    </row>
    <row r="51" spans="1:11" ht="11.25">
      <c r="A51" s="496"/>
      <c r="B51" s="497" t="s">
        <v>446</v>
      </c>
      <c r="C51" s="536"/>
      <c r="D51" s="536"/>
      <c r="E51" s="536"/>
      <c r="F51" s="557"/>
      <c r="G51" s="561">
        <f>5-5</f>
        <v>0</v>
      </c>
      <c r="H51" s="559"/>
      <c r="I51" s="560"/>
      <c r="J51" s="561"/>
      <c r="K51" s="559"/>
    </row>
    <row r="52" spans="1:11" ht="11.25">
      <c r="A52" s="496"/>
      <c r="B52" s="497" t="s">
        <v>425</v>
      </c>
      <c r="C52" s="536"/>
      <c r="D52" s="536"/>
      <c r="E52" s="536"/>
      <c r="F52" s="557" t="s">
        <v>735</v>
      </c>
      <c r="G52" s="561">
        <f>399+33</f>
        <v>432</v>
      </c>
      <c r="H52" s="559">
        <f>297.9+33</f>
        <v>330.9</v>
      </c>
      <c r="I52" s="560"/>
      <c r="J52" s="561">
        <f>Haridus!E2/1000</f>
        <v>440.58790000000005</v>
      </c>
      <c r="K52" s="559">
        <f>Haridus!E3/1000</f>
        <v>348.08790000000005</v>
      </c>
    </row>
    <row r="53" spans="1:11" ht="12.75" customHeight="1">
      <c r="A53" s="496"/>
      <c r="B53" s="497" t="s">
        <v>426</v>
      </c>
      <c r="C53" s="536"/>
      <c r="D53" s="536"/>
      <c r="E53" s="536"/>
      <c r="F53" s="557" t="s">
        <v>734</v>
      </c>
      <c r="G53" s="561">
        <f>334+20</f>
        <v>354</v>
      </c>
      <c r="H53" s="559">
        <v>228</v>
      </c>
      <c r="I53" s="560"/>
      <c r="J53" s="561">
        <f>Haridus!F2/1000</f>
        <v>408.398</v>
      </c>
      <c r="K53" s="559">
        <f>Haridus!F3/1000</f>
        <v>318.798</v>
      </c>
    </row>
    <row r="54" spans="1:11" ht="11.25">
      <c r="A54" s="496"/>
      <c r="B54" s="497" t="s">
        <v>427</v>
      </c>
      <c r="C54" s="536"/>
      <c r="D54" s="536"/>
      <c r="E54" s="536"/>
      <c r="F54" s="557" t="s">
        <v>738</v>
      </c>
      <c r="G54" s="558">
        <f>(TOV!E5+TOV!E11+TOV!E17)/1000</f>
        <v>300.835</v>
      </c>
      <c r="H54" s="559"/>
      <c r="I54" s="560"/>
      <c r="J54" s="558">
        <f>Haridus!J48/1000</f>
        <v>132.202</v>
      </c>
      <c r="K54" s="559"/>
    </row>
    <row r="55" spans="1:11" ht="11.25">
      <c r="A55" s="496"/>
      <c r="B55" s="497" t="s">
        <v>428</v>
      </c>
      <c r="C55" s="536"/>
      <c r="D55" s="536"/>
      <c r="E55" s="536"/>
      <c r="F55" s="557" t="s">
        <v>739</v>
      </c>
      <c r="G55" s="558">
        <f>(TOV!E38+TOV!E39)/1000</f>
        <v>42.804</v>
      </c>
      <c r="H55" s="559"/>
      <c r="I55" s="560"/>
      <c r="J55" s="558">
        <f>Haridus!J47/1000</f>
        <v>15.912</v>
      </c>
      <c r="K55" s="559"/>
    </row>
    <row r="56" spans="1:11" ht="11.25">
      <c r="A56" s="496" t="s">
        <v>693</v>
      </c>
      <c r="B56" s="497" t="s">
        <v>429</v>
      </c>
      <c r="C56" s="536"/>
      <c r="D56" s="536"/>
      <c r="E56" s="536"/>
      <c r="F56" s="557"/>
      <c r="G56" s="561">
        <f>SUM(G57:G61)</f>
        <v>2777.672</v>
      </c>
      <c r="H56" s="559">
        <f>SUM(H57:H61)</f>
        <v>888.8</v>
      </c>
      <c r="I56" s="559">
        <f>SUM(I57:I61)</f>
        <v>0</v>
      </c>
      <c r="J56" s="559">
        <f>SUM(J57:J61)</f>
        <v>2858.665495</v>
      </c>
      <c r="K56" s="559">
        <f>SUM(K57:K61)</f>
        <v>968.719495</v>
      </c>
    </row>
    <row r="57" spans="1:11" ht="11.25">
      <c r="A57" s="496"/>
      <c r="B57" s="497" t="s">
        <v>430</v>
      </c>
      <c r="C57" s="536"/>
      <c r="D57" s="536"/>
      <c r="E57" s="536"/>
      <c r="F57" s="557" t="s">
        <v>736</v>
      </c>
      <c r="G57" s="561">
        <f>984+5.5+22.4-22.4-5.5+374-38</f>
        <v>1320</v>
      </c>
      <c r="H57" s="559">
        <f>379.4+5.5+22.4-22.4-5.5+134.2</f>
        <v>513.5999999999999</v>
      </c>
      <c r="I57" s="560"/>
      <c r="J57" s="561">
        <f>Haridus!G2/1000+315.5</f>
        <v>1408.894135</v>
      </c>
      <c r="K57" s="559">
        <f>Haridus!G3/1000+95.5</f>
        <v>538.294135</v>
      </c>
    </row>
    <row r="58" spans="1:11" ht="11.25">
      <c r="A58" s="496"/>
      <c r="B58" s="497" t="s">
        <v>430</v>
      </c>
      <c r="C58" s="536"/>
      <c r="D58" s="536"/>
      <c r="E58" s="536"/>
      <c r="F58" s="557"/>
      <c r="G58" s="561">
        <f>416-416</f>
        <v>0</v>
      </c>
      <c r="H58" s="559"/>
      <c r="I58" s="560"/>
      <c r="J58" s="561"/>
      <c r="K58" s="559"/>
    </row>
    <row r="59" spans="1:11" ht="11.25">
      <c r="A59" s="496"/>
      <c r="B59" s="497" t="s">
        <v>431</v>
      </c>
      <c r="C59" s="536"/>
      <c r="D59" s="536"/>
      <c r="E59" s="536"/>
      <c r="F59" s="557" t="s">
        <v>737</v>
      </c>
      <c r="G59" s="561">
        <f>891+14.4+5.5+36.5-5.5</f>
        <v>941.9</v>
      </c>
      <c r="H59" s="559">
        <f>324.3+36.5+5.5+14.4-5.5</f>
        <v>375.2</v>
      </c>
      <c r="I59" s="560"/>
      <c r="J59" s="561">
        <f>Haridus!H2/1000</f>
        <v>1026.52536</v>
      </c>
      <c r="K59" s="559">
        <f>Haridus!H3/1000</f>
        <v>430.42536</v>
      </c>
    </row>
    <row r="60" spans="1:11" ht="11.25">
      <c r="A60" s="496"/>
      <c r="B60" s="497" t="s">
        <v>445</v>
      </c>
      <c r="C60" s="536"/>
      <c r="D60" s="536"/>
      <c r="E60" s="536"/>
      <c r="F60" s="557"/>
      <c r="G60" s="561">
        <f>2466-2466</f>
        <v>0</v>
      </c>
      <c r="H60" s="559">
        <f>2367.96-2367.96</f>
        <v>0</v>
      </c>
      <c r="I60" s="560"/>
      <c r="J60" s="561"/>
      <c r="K60" s="562"/>
    </row>
    <row r="61" spans="1:11" ht="11.25">
      <c r="A61" s="496"/>
      <c r="B61" s="497" t="s">
        <v>452</v>
      </c>
      <c r="C61" s="536"/>
      <c r="D61" s="536"/>
      <c r="E61" s="536"/>
      <c r="F61" s="557" t="s">
        <v>740</v>
      </c>
      <c r="G61" s="558">
        <f>(TOV!E4+TOV!E10+TOV!E16+TOV!E21+TOV!E27+TOV!E28+TOV!E35)/1000</f>
        <v>515.772</v>
      </c>
      <c r="H61" s="559"/>
      <c r="I61" s="560"/>
      <c r="J61" s="558">
        <f>Haridus!J49/1000</f>
        <v>423.246</v>
      </c>
      <c r="K61" s="562"/>
    </row>
    <row r="62" spans="1:11" ht="11.25">
      <c r="A62" s="496" t="s">
        <v>694</v>
      </c>
      <c r="B62" s="497" t="s">
        <v>86</v>
      </c>
      <c r="C62" s="536"/>
      <c r="D62" s="536"/>
      <c r="E62" s="536"/>
      <c r="F62" s="557"/>
      <c r="G62" s="561">
        <f>438+9.388</f>
        <v>447.388</v>
      </c>
      <c r="H62" s="559"/>
      <c r="I62" s="560"/>
      <c r="J62" s="561">
        <f>Haridus!I2/1000</f>
        <v>504.26</v>
      </c>
      <c r="K62" s="562"/>
    </row>
    <row r="63" spans="1:11" ht="11.25">
      <c r="A63" s="496"/>
      <c r="B63" s="497" t="s">
        <v>212</v>
      </c>
      <c r="C63" s="536"/>
      <c r="D63" s="536"/>
      <c r="E63" s="536"/>
      <c r="F63" s="557"/>
      <c r="G63" s="561"/>
      <c r="H63" s="559"/>
      <c r="I63" s="560"/>
      <c r="J63" s="561"/>
      <c r="K63" s="562"/>
    </row>
    <row r="64" spans="1:11" ht="11.25">
      <c r="A64" s="496" t="s">
        <v>701</v>
      </c>
      <c r="B64" s="497" t="s">
        <v>695</v>
      </c>
      <c r="C64" s="536"/>
      <c r="D64" s="536"/>
      <c r="E64" s="536"/>
      <c r="F64" s="557"/>
      <c r="G64" s="561">
        <v>54</v>
      </c>
      <c r="H64" s="559">
        <v>40</v>
      </c>
      <c r="I64" s="560"/>
      <c r="J64" s="561">
        <f>Haridus!K2/1000</f>
        <v>53.007</v>
      </c>
      <c r="K64" s="559">
        <f>Haridus!K3/1000</f>
        <v>32.307</v>
      </c>
    </row>
    <row r="65" spans="1:11" ht="12" thickBot="1">
      <c r="A65" s="496" t="s">
        <v>702</v>
      </c>
      <c r="B65" s="497" t="s">
        <v>214</v>
      </c>
      <c r="C65" s="536"/>
      <c r="D65" s="536"/>
      <c r="E65" s="536"/>
      <c r="F65" s="557"/>
      <c r="G65" s="561"/>
      <c r="H65" s="559"/>
      <c r="I65" s="560"/>
      <c r="J65" s="561">
        <f>Haridus!D2/1000</f>
        <v>147.869</v>
      </c>
      <c r="K65" s="559">
        <f>Haridus!D3/1000</f>
        <v>135.369</v>
      </c>
    </row>
    <row r="66" spans="1:12" ht="12" hidden="1" thickBot="1">
      <c r="A66" s="569"/>
      <c r="B66" s="570" t="s">
        <v>269</v>
      </c>
      <c r="C66" s="571"/>
      <c r="D66" s="571"/>
      <c r="E66" s="571"/>
      <c r="F66" s="572"/>
      <c r="G66" s="576"/>
      <c r="H66" s="574"/>
      <c r="I66" s="575"/>
      <c r="J66" s="576"/>
      <c r="K66" s="584"/>
      <c r="L66" s="522" t="e">
        <f>J66/G66</f>
        <v>#DIV/0!</v>
      </c>
    </row>
    <row r="67" spans="1:12" ht="12" thickBot="1">
      <c r="A67" s="525" t="s">
        <v>703</v>
      </c>
      <c r="B67" s="526" t="s">
        <v>99</v>
      </c>
      <c r="C67" s="563"/>
      <c r="D67" s="563"/>
      <c r="E67" s="563"/>
      <c r="F67" s="564"/>
      <c r="G67" s="577">
        <f>SUM(G68:G74)</f>
        <v>653.9</v>
      </c>
      <c r="H67" s="566">
        <f>SUM(H68:H74)</f>
        <v>373.986</v>
      </c>
      <c r="I67" s="567">
        <f>SUM(I68:I74)</f>
        <v>0</v>
      </c>
      <c r="J67" s="577">
        <f>SUM(J68:J74)</f>
        <v>1353.2934</v>
      </c>
      <c r="K67" s="566">
        <f>SUM(K68:K74)</f>
        <v>441.13740000000007</v>
      </c>
      <c r="L67" s="529">
        <f>J67/G67</f>
        <v>2.069572411683744</v>
      </c>
    </row>
    <row r="68" spans="1:11" ht="11.25">
      <c r="A68" s="496" t="s">
        <v>704</v>
      </c>
      <c r="B68" s="497" t="s">
        <v>705</v>
      </c>
      <c r="C68" s="536"/>
      <c r="D68" s="536"/>
      <c r="E68" s="536"/>
      <c r="F68" s="557"/>
      <c r="G68" s="561">
        <f>126+24.586-24.586+24.586-126</f>
        <v>24.586000000000013</v>
      </c>
      <c r="H68" s="559">
        <f>54.8+24.586-79.4+25</f>
        <v>24.98599999999999</v>
      </c>
      <c r="I68" s="560"/>
      <c r="J68" s="561"/>
      <c r="K68" s="559"/>
    </row>
    <row r="69" spans="1:11" ht="11.25">
      <c r="A69" s="496" t="s">
        <v>709</v>
      </c>
      <c r="B69" s="497" t="s">
        <v>710</v>
      </c>
      <c r="C69" s="536"/>
      <c r="D69" s="536"/>
      <c r="E69" s="536"/>
      <c r="F69" s="557"/>
      <c r="G69" s="561">
        <v>81</v>
      </c>
      <c r="H69" s="559"/>
      <c r="I69" s="560"/>
      <c r="J69" s="561">
        <f>Sots!I3/1000</f>
        <v>36.3</v>
      </c>
      <c r="K69" s="559"/>
    </row>
    <row r="70" spans="1:11" ht="11.25">
      <c r="A70" s="496" t="s">
        <v>711</v>
      </c>
      <c r="B70" s="497" t="s">
        <v>712</v>
      </c>
      <c r="C70" s="536"/>
      <c r="D70" s="536"/>
      <c r="E70" s="536"/>
      <c r="F70" s="557"/>
      <c r="G70" s="561">
        <v>99</v>
      </c>
      <c r="H70" s="559">
        <v>96.1</v>
      </c>
      <c r="I70" s="560"/>
      <c r="J70" s="561">
        <f>Sots!G3/1000</f>
        <v>84.4609</v>
      </c>
      <c r="K70" s="559">
        <f>Sots!G4/1000</f>
        <v>59.460899999999995</v>
      </c>
    </row>
    <row r="71" spans="1:11" ht="11.25">
      <c r="A71" s="496" t="s">
        <v>711</v>
      </c>
      <c r="B71" s="497" t="s">
        <v>264</v>
      </c>
      <c r="C71" s="536"/>
      <c r="D71" s="536"/>
      <c r="E71" s="536"/>
      <c r="F71" s="557"/>
      <c r="G71" s="561">
        <f>348-36.5-24.586-54.8-28+28</f>
        <v>232.11399999999998</v>
      </c>
      <c r="H71" s="559">
        <f>201.2-36.5-54.8-44.5+28</f>
        <v>93.39999999999999</v>
      </c>
      <c r="I71" s="560"/>
      <c r="J71" s="561">
        <f>Sots!F3/1000</f>
        <v>358.20374</v>
      </c>
      <c r="K71" s="559">
        <f>Sots!F4/1000</f>
        <v>249.70374</v>
      </c>
    </row>
    <row r="72" spans="1:11" ht="11.25">
      <c r="A72" s="496" t="s">
        <v>708</v>
      </c>
      <c r="B72" s="497" t="s">
        <v>611</v>
      </c>
      <c r="C72" s="536"/>
      <c r="D72" s="536"/>
      <c r="E72" s="536"/>
      <c r="F72" s="557"/>
      <c r="G72" s="561">
        <f>30+54.8</f>
        <v>84.8</v>
      </c>
      <c r="H72" s="559">
        <v>44.5</v>
      </c>
      <c r="I72" s="560"/>
      <c r="J72" s="561">
        <f>Sots!H3/1000</f>
        <v>720.856</v>
      </c>
      <c r="K72" s="559"/>
    </row>
    <row r="73" spans="1:11" ht="11.25">
      <c r="A73" s="496" t="s">
        <v>707</v>
      </c>
      <c r="B73" s="497" t="s">
        <v>28</v>
      </c>
      <c r="C73" s="536"/>
      <c r="D73" s="536"/>
      <c r="E73" s="536"/>
      <c r="F73" s="557"/>
      <c r="G73" s="561">
        <f>628-157-471</f>
        <v>0</v>
      </c>
      <c r="H73" s="559"/>
      <c r="I73" s="560"/>
      <c r="J73" s="561"/>
      <c r="K73" s="559"/>
    </row>
    <row r="74" spans="1:11" ht="11.25">
      <c r="A74" s="496" t="s">
        <v>706</v>
      </c>
      <c r="B74" s="497" t="s">
        <v>232</v>
      </c>
      <c r="C74" s="536"/>
      <c r="D74" s="536"/>
      <c r="E74" s="536"/>
      <c r="F74" s="557"/>
      <c r="G74" s="561">
        <f>115+17.4</f>
        <v>132.4</v>
      </c>
      <c r="H74" s="559">
        <v>115</v>
      </c>
      <c r="I74" s="560"/>
      <c r="J74" s="561">
        <f>Sots!E3/1000</f>
        <v>153.47276000000002</v>
      </c>
      <c r="K74" s="559">
        <f>Sots!E4/1000</f>
        <v>131.97276000000002</v>
      </c>
    </row>
    <row r="75" spans="1:12" s="592" customFormat="1" ht="12.75" hidden="1" thickBot="1">
      <c r="A75" s="585" t="s">
        <v>64</v>
      </c>
      <c r="B75" s="586"/>
      <c r="C75" s="587"/>
      <c r="D75" s="587"/>
      <c r="E75" s="587"/>
      <c r="F75" s="587"/>
      <c r="G75" s="588">
        <f>SUM(G76+G80)-G76</f>
        <v>702.0810000000001</v>
      </c>
      <c r="H75" s="589"/>
      <c r="I75" s="590"/>
      <c r="J75" s="588">
        <f>SUM(J76+J80)-J76</f>
        <v>691.3820000000001</v>
      </c>
      <c r="K75" s="591"/>
      <c r="L75" s="522">
        <f aca="true" t="shared" si="0" ref="L75:L82">J75/G75</f>
        <v>0.9847610176033819</v>
      </c>
    </row>
    <row r="76" spans="1:12" ht="12" hidden="1" thickBot="1">
      <c r="A76" s="593">
        <v>291</v>
      </c>
      <c r="B76" s="594" t="s">
        <v>57</v>
      </c>
      <c r="C76" s="594"/>
      <c r="D76" s="595"/>
      <c r="E76" s="594"/>
      <c r="F76" s="594"/>
      <c r="G76" s="596">
        <f>SUM(G77:G79)</f>
        <v>129.849</v>
      </c>
      <c r="H76" s="597">
        <f>SUM(H77:H79)</f>
        <v>0</v>
      </c>
      <c r="I76" s="598">
        <f>SUM(I77:I79)</f>
        <v>0</v>
      </c>
      <c r="J76" s="596">
        <f>SUM(J77:J79)</f>
        <v>67.082</v>
      </c>
      <c r="K76" s="599">
        <f>SUM(K77:K79)</f>
        <v>0</v>
      </c>
      <c r="L76" s="522">
        <f t="shared" si="0"/>
        <v>0.5166154533342575</v>
      </c>
    </row>
    <row r="77" spans="1:12" ht="11.25" hidden="1">
      <c r="A77" s="496" t="s">
        <v>58</v>
      </c>
      <c r="B77" s="497" t="s">
        <v>59</v>
      </c>
      <c r="D77" s="498"/>
      <c r="E77" s="497"/>
      <c r="F77" s="497"/>
      <c r="G77" s="600">
        <v>14.619</v>
      </c>
      <c r="H77" s="601"/>
      <c r="I77" s="602"/>
      <c r="J77" s="600">
        <f>0.972</f>
        <v>0.972</v>
      </c>
      <c r="K77" s="603"/>
      <c r="L77" s="522">
        <f t="shared" si="0"/>
        <v>0.06648881592448184</v>
      </c>
    </row>
    <row r="78" spans="1:12" ht="11.25" hidden="1">
      <c r="A78" s="496" t="s">
        <v>60</v>
      </c>
      <c r="B78" s="497" t="s">
        <v>61</v>
      </c>
      <c r="D78" s="498"/>
      <c r="E78" s="497"/>
      <c r="F78" s="497"/>
      <c r="G78" s="600">
        <v>94</v>
      </c>
      <c r="H78" s="601"/>
      <c r="I78" s="602"/>
      <c r="J78" s="600">
        <f>46.11</f>
        <v>46.11</v>
      </c>
      <c r="K78" s="603"/>
      <c r="L78" s="522">
        <f t="shared" si="0"/>
        <v>0.490531914893617</v>
      </c>
    </row>
    <row r="79" spans="1:12" ht="11.25" hidden="1">
      <c r="A79" s="496" t="s">
        <v>62</v>
      </c>
      <c r="B79" s="497" t="s">
        <v>63</v>
      </c>
      <c r="D79" s="498"/>
      <c r="E79" s="497"/>
      <c r="F79" s="497"/>
      <c r="G79" s="600">
        <f>21.23</f>
        <v>21.23</v>
      </c>
      <c r="H79" s="601"/>
      <c r="I79" s="602"/>
      <c r="J79" s="600">
        <v>20</v>
      </c>
      <c r="K79" s="603"/>
      <c r="L79" s="522">
        <f t="shared" si="0"/>
        <v>0.9420631182289213</v>
      </c>
    </row>
    <row r="80" spans="1:12" ht="12" hidden="1" thickBot="1">
      <c r="A80" s="604">
        <v>91</v>
      </c>
      <c r="B80" s="605" t="s">
        <v>416</v>
      </c>
      <c r="C80" s="605"/>
      <c r="D80" s="606"/>
      <c r="E80" s="605"/>
      <c r="F80" s="605"/>
      <c r="G80" s="607">
        <f>SUM(G81:G82)</f>
        <v>702.081</v>
      </c>
      <c r="H80" s="608">
        <f>SUM(H81:H82)</f>
        <v>0</v>
      </c>
      <c r="I80" s="609">
        <f>SUM(I81:I82)</f>
        <v>0</v>
      </c>
      <c r="J80" s="607">
        <f>SUM(J81:J82)</f>
        <v>691.3820000000001</v>
      </c>
      <c r="K80" s="608">
        <f>SUM(K81:K82)</f>
        <v>-10.69899999999997</v>
      </c>
      <c r="L80" s="522">
        <f t="shared" si="0"/>
        <v>0.984761017603382</v>
      </c>
    </row>
    <row r="81" spans="1:12" ht="11.25" hidden="1">
      <c r="A81" s="610">
        <v>914</v>
      </c>
      <c r="B81" s="611"/>
      <c r="C81" s="611" t="s">
        <v>417</v>
      </c>
      <c r="D81" s="611"/>
      <c r="E81" s="611"/>
      <c r="F81" s="611"/>
      <c r="G81" s="612">
        <f>55.7-14.619</f>
        <v>41.081</v>
      </c>
      <c r="H81" s="613"/>
      <c r="I81" s="614"/>
      <c r="J81" s="612">
        <v>30.47</v>
      </c>
      <c r="K81" s="613">
        <f>J81-G81</f>
        <v>-10.611000000000004</v>
      </c>
      <c r="L81" s="522">
        <f t="shared" si="0"/>
        <v>0.74170541126068</v>
      </c>
    </row>
    <row r="82" spans="1:12" ht="11.25" hidden="1">
      <c r="A82" s="610">
        <v>917</v>
      </c>
      <c r="B82" s="611"/>
      <c r="C82" s="611" t="s">
        <v>418</v>
      </c>
      <c r="D82" s="615"/>
      <c r="E82" s="611"/>
      <c r="F82" s="611"/>
      <c r="G82" s="616">
        <v>661</v>
      </c>
      <c r="H82" s="499"/>
      <c r="I82" s="617"/>
      <c r="J82" s="616">
        <v>660.912</v>
      </c>
      <c r="K82" s="613">
        <f>J82-G82</f>
        <v>-0.08799999999996544</v>
      </c>
      <c r="L82" s="522">
        <f t="shared" si="0"/>
        <v>0.9998668683812406</v>
      </c>
    </row>
    <row r="83" spans="1:11" ht="3.75" customHeight="1" hidden="1">
      <c r="A83" s="618"/>
      <c r="B83" s="611"/>
      <c r="C83" s="611"/>
      <c r="D83" s="611"/>
      <c r="E83" s="611"/>
      <c r="F83" s="611"/>
      <c r="G83" s="619"/>
      <c r="H83" s="620"/>
      <c r="I83" s="620"/>
      <c r="J83" s="619"/>
      <c r="K83" s="620"/>
    </row>
    <row r="84" spans="6:10" ht="11.25" hidden="1">
      <c r="F84" s="524" t="s">
        <v>434</v>
      </c>
      <c r="G84" s="621" t="e">
        <f>SUM(#REF!)</f>
        <v>#REF!</v>
      </c>
      <c r="J84" s="621" t="e">
        <f>SUM(#REF!)</f>
        <v>#REF!</v>
      </c>
    </row>
    <row r="85" spans="6:12" s="621" customFormat="1" ht="11.25" hidden="1">
      <c r="F85" s="621" t="s">
        <v>433</v>
      </c>
      <c r="G85" s="622" t="e">
        <f>G84+G4</f>
        <v>#REF!</v>
      </c>
      <c r="J85" s="622" t="e">
        <f>J84+J4</f>
        <v>#REF!</v>
      </c>
      <c r="L85" s="534"/>
    </row>
    <row r="87" spans="8:10" ht="11.25">
      <c r="H87" s="621" t="s">
        <v>1</v>
      </c>
      <c r="I87" s="621"/>
      <c r="J87" s="622">
        <f>tulud!I5</f>
        <v>13568.9816</v>
      </c>
    </row>
    <row r="88" spans="6:10" ht="11.25">
      <c r="F88" s="524"/>
      <c r="H88" s="621" t="s">
        <v>644</v>
      </c>
      <c r="I88" s="621"/>
      <c r="J88" s="622">
        <f>J87-J4</f>
        <v>3007.4312899999986</v>
      </c>
    </row>
    <row r="89" spans="5:10" ht="11.25" hidden="1">
      <c r="E89" s="621" t="s">
        <v>447</v>
      </c>
      <c r="F89" s="524"/>
      <c r="G89" s="621"/>
      <c r="J89" s="621"/>
    </row>
    <row r="90" spans="5:10" ht="11.25" hidden="1">
      <c r="E90" s="623" t="s">
        <v>96</v>
      </c>
      <c r="F90" s="624"/>
      <c r="G90" s="625">
        <f>G5/G4</f>
        <v>0.22241509999714779</v>
      </c>
      <c r="J90" s="625">
        <f>J5/J4</f>
        <v>0.20444486478046234</v>
      </c>
    </row>
    <row r="91" spans="5:10" ht="11.25" hidden="1">
      <c r="E91" s="623" t="s">
        <v>97</v>
      </c>
      <c r="F91" s="624"/>
      <c r="G91" s="625">
        <f>G14/G4</f>
        <v>0.12553784324500905</v>
      </c>
      <c r="J91" s="625">
        <f>J14/J4</f>
        <v>0.10951082426837389</v>
      </c>
    </row>
    <row r="92" spans="5:10" ht="11.25" hidden="1">
      <c r="E92" s="623" t="s">
        <v>71</v>
      </c>
      <c r="F92" s="624"/>
      <c r="G92" s="625">
        <f>G24/G4</f>
        <v>0.016010316157091527</v>
      </c>
      <c r="J92" s="625">
        <f>J24/J4</f>
        <v>0.019637268574446625</v>
      </c>
    </row>
    <row r="93" spans="5:10" ht="11.25" hidden="1">
      <c r="E93" s="623" t="s">
        <v>72</v>
      </c>
      <c r="F93" s="624"/>
      <c r="G93" s="625">
        <f>G28/G4</f>
        <v>0.029433534868931178</v>
      </c>
      <c r="J93" s="625">
        <f>J28/J4</f>
        <v>0.026948026723928938</v>
      </c>
    </row>
    <row r="94" spans="5:10" ht="11.25" hidden="1">
      <c r="E94" s="623" t="s">
        <v>73</v>
      </c>
      <c r="F94" s="624"/>
      <c r="G94" s="625">
        <f>G32/G4</f>
        <v>0.0027567431793667527</v>
      </c>
      <c r="J94" s="625">
        <f>J32/J4</f>
        <v>0.002461759802003916</v>
      </c>
    </row>
    <row r="95" spans="5:10" ht="11.25" hidden="1">
      <c r="E95" s="623" t="s">
        <v>100</v>
      </c>
      <c r="F95" s="624"/>
      <c r="G95" s="625">
        <f>G34/G4</f>
        <v>0.067066260124802</v>
      </c>
      <c r="J95" s="625">
        <f>J34/J4</f>
        <v>0.07702314017571538</v>
      </c>
    </row>
    <row r="96" spans="5:10" ht="11.25" hidden="1">
      <c r="E96" s="623" t="s">
        <v>98</v>
      </c>
      <c r="F96" s="624"/>
      <c r="G96" s="625">
        <f>G49/G4</f>
        <v>0.4674481114665779</v>
      </c>
      <c r="J96" s="625">
        <f>J49/J4</f>
        <v>0.4318401428890224</v>
      </c>
    </row>
    <row r="97" spans="5:10" ht="12" customHeight="1" hidden="1">
      <c r="E97" s="623" t="s">
        <v>99</v>
      </c>
      <c r="F97" s="624"/>
      <c r="G97" s="625">
        <f>G67/G4</f>
        <v>0.06933209096107383</v>
      </c>
      <c r="J97" s="625">
        <f>J67/J4</f>
        <v>0.1281339727860464</v>
      </c>
    </row>
    <row r="98" spans="5:10" ht="11.25" hidden="1">
      <c r="E98" s="623" t="s">
        <v>416</v>
      </c>
      <c r="F98" s="624"/>
      <c r="G98" s="625">
        <f>G75/G4</f>
        <v>0.0744406541581919</v>
      </c>
      <c r="J98" s="625">
        <f>J75/J4</f>
        <v>0.06546216982419506</v>
      </c>
    </row>
    <row r="99" spans="5:10" ht="11.25" hidden="1">
      <c r="E99" s="536"/>
      <c r="F99" s="536"/>
      <c r="G99" s="626">
        <f>SUM(G90:G98)</f>
        <v>1.074440654158192</v>
      </c>
      <c r="J99" s="626">
        <f>SUM(J90:J98)</f>
        <v>1.0654621698241948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kerstis</dc:creator>
  <cp:keywords/>
  <dc:description/>
  <cp:lastModifiedBy>Katrin Paat</cp:lastModifiedBy>
  <cp:lastPrinted>2006-05-03T12:46:56Z</cp:lastPrinted>
  <dcterms:created xsi:type="dcterms:W3CDTF">2002-10-24T11:48:05Z</dcterms:created>
  <dcterms:modified xsi:type="dcterms:W3CDTF">2006-05-03T12:47:00Z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